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80" windowWidth="19320" windowHeight="10485" tabRatio="725" activeTab="0"/>
  </bookViews>
  <sheets>
    <sheet name="Dashboard" sheetId="1" r:id="rId1"/>
    <sheet name="CREST Inputs" sheetId="2" r:id="rId2"/>
    <sheet name="Input Assumptions" sheetId="3" r:id="rId3"/>
    <sheet name="Cash Flow" sheetId="4" r:id="rId4"/>
    <sheet name="Net Metering Credit" sheetId="5" r:id="rId5"/>
    <sheet name="Ameren IL C&amp;I Rates" sheetId="6" r:id="rId6"/>
    <sheet name="ComEd C&amp;I Rates" sheetId="7" r:id="rId7"/>
  </sheets>
  <definedNames>
    <definedName name="_ftn1" localSheetId="1">'CREST Inputs'!$E$100</definedName>
    <definedName name="_ftnref1" localSheetId="1">'CREST Inputs'!$E$88</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solver_adj" localSheetId="1" hidden="1">'CREST Inputs'!$G$51</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'CREST Inputs'!$G$56</definedName>
    <definedName name="solver_lhs2" localSheetId="1" hidden="1">'CREST Inputs'!$G$59</definedName>
    <definedName name="solver_lin" localSheetId="1" hidden="1">2</definedName>
    <definedName name="solver_neg" localSheetId="1" hidden="1">2</definedName>
    <definedName name="solver_num" localSheetId="1" hidden="1">2</definedName>
    <definedName name="solver_nwt" localSheetId="1" hidden="1">1</definedName>
    <definedName name="solver_opt" localSheetId="1" hidden="1">'CREST Inputs'!$U$59</definedName>
    <definedName name="solver_pre" localSheetId="1" hidden="1">0.000001</definedName>
    <definedName name="solver_rel1" localSheetId="1" hidden="1">3</definedName>
    <definedName name="solver_rel2" localSheetId="1" hidden="1">3</definedName>
    <definedName name="solver_rhs1" localSheetId="1" hidden="1">'CREST Inputs'!$G$55</definedName>
    <definedName name="solver_rhs2" localSheetId="1" hidden="1">'CREST Inputs'!$G$58</definedName>
    <definedName name="solver_scl" localSheetId="1" hidden="1">2</definedName>
    <definedName name="solver_sho" localSheetId="1" hidden="1">2</definedName>
    <definedName name="solver_tim" localSheetId="1" hidden="1">100</definedName>
    <definedName name="solver_tol" localSheetId="1" hidden="1">0.05</definedName>
    <definedName name="solver_typ" localSheetId="1" hidden="1">2</definedName>
    <definedName name="solver_val" localSheetId="1" hidden="1">0</definedName>
  </definedNames>
  <calcPr fullCalcOnLoad="1"/>
</workbook>
</file>

<file path=xl/comments1.xml><?xml version="1.0" encoding="utf-8"?>
<comments xmlns="http://schemas.openxmlformats.org/spreadsheetml/2006/main">
  <authors>
    <author>Author</author>
  </authors>
  <commentList>
    <comment ref="B4" authorId="0">
      <text>
        <r>
          <rPr>
            <b/>
            <sz val="9"/>
            <rFont val="Tahoma"/>
            <family val="2"/>
          </rPr>
          <t>Author:</t>
        </r>
        <r>
          <rPr>
            <sz val="9"/>
            <rFont val="Tahoma"/>
            <family val="2"/>
          </rPr>
          <t xml:space="preserve">
Reflects suggested 50% of NEM value to account for 50% subscriber savings</t>
        </r>
      </text>
    </comment>
  </commentList>
</comments>
</file>

<file path=xl/comments2.xml><?xml version="1.0" encoding="utf-8"?>
<comments xmlns="http://schemas.openxmlformats.org/spreadsheetml/2006/main">
  <authors>
    <author>Author</author>
  </authors>
  <commentList>
    <comment ref="I18" authorId="0">
      <text>
        <r>
          <rPr>
            <b/>
            <sz val="14"/>
            <rFont val="Tahoma"/>
            <family val="2"/>
          </rPr>
          <t>Note:</t>
        </r>
        <r>
          <rPr>
            <sz val="14"/>
            <rFont val="Tahoma"/>
            <family val="2"/>
          </rPr>
          <t xml:space="preserve">
This model alllows the user to input system cost at 1 of 3 levels of detail: "simple", "intermediate" or "complex." Simple offers a single input in $/Watt, Intermediate offers five cost subcategories in total dollars, and Complex offers line-by-line project costing with user-defined categories and costs per line-item.  
Select your preferred method and use the cells below to enter your cost information. If you choose the "Complex" option, you will need to follow the link below to the "Complex Capital Costs" tab.</t>
        </r>
      </text>
    </comment>
    <comment ref="I19" authorId="0">
      <text>
        <r>
          <rPr>
            <b/>
            <sz val="14"/>
            <rFont val="Tahoma"/>
            <family val="2"/>
          </rPr>
          <t>Note:</t>
        </r>
        <r>
          <rPr>
            <sz val="14"/>
            <rFont val="Tahoma"/>
            <family val="2"/>
          </rPr>
          <t xml:space="preserve">
When "Simple" is selected in the Cost Level of Detail cell, this "Total Installed Cost" row represents the total expected all-in project cost, which should include all hardware, balance of plant, interconnection, design, construction, permitting, development (including developer fee), interest during construction and financing costs. This figure should not account for any tax incentives, grants, or other cash incentives, each of which will be addressed elsewhere in the model. This figure should, however, reflect any applicable sales tax or exemptions thereof.
Input must be greater than zero.
</t>
        </r>
      </text>
    </comment>
    <comment ref="S8" authorId="0">
      <text>
        <r>
          <rPr>
            <b/>
            <sz val="14"/>
            <rFont val="Tahoma"/>
            <family val="2"/>
          </rPr>
          <t xml:space="preserve">Note:
</t>
        </r>
        <r>
          <rPr>
            <sz val="14"/>
            <rFont val="Tahoma"/>
            <family val="2"/>
          </rPr>
          <t xml:space="preserve">The FIT contract length is the number of years for which the rate specified by this model is available. This term is established by policymakers and must be less than or equal to the project's useful life.  
The contract duration is also different than the debt tenor (if applicable), which is specified in the Permanent Financing section below.
</t>
        </r>
      </text>
    </comment>
    <comment ref="I14" authorId="0">
      <text>
        <r>
          <rPr>
            <b/>
            <sz val="14"/>
            <rFont val="Tahoma"/>
            <family val="2"/>
          </rPr>
          <t>Note:</t>
        </r>
        <r>
          <rPr>
            <sz val="14"/>
            <rFont val="Tahoma"/>
            <family val="2"/>
          </rPr>
          <t xml:space="preserve">
Studies have shown that solar projects experience annual degradation in production. For example, see NREL's 2002 study, Degradation Analysis of Weathered Crystalline-Silicon
PV Modules, which estimates between a 0.05% and 1.0% degradation per year. For more information, see: http://www.nrel.gov/docs/fy02osti/31455.pdf
*See bottom of introduction page for a list of links
Input must be =&gt; 0%.
</t>
        </r>
      </text>
    </comment>
    <comment ref="I13" authorId="0">
      <text>
        <r>
          <rPr>
            <b/>
            <sz val="14"/>
            <rFont val="Tahoma"/>
            <family val="2"/>
          </rPr>
          <t>Note:</t>
        </r>
        <r>
          <rPr>
            <sz val="14"/>
            <rFont val="Tahoma"/>
            <family val="2"/>
          </rPr>
          <t xml:space="preserve">
This is a calculation, based on the system size and capacity factor, provided above. 
</t>
        </r>
      </text>
    </comment>
    <comment ref="I26" authorId="0">
      <text>
        <r>
          <rPr>
            <b/>
            <sz val="14"/>
            <rFont val="Tahoma"/>
            <family val="2"/>
          </rPr>
          <t>Note:</t>
        </r>
        <r>
          <rPr>
            <sz val="14"/>
            <rFont val="Tahoma"/>
            <family val="2"/>
          </rPr>
          <t xml:space="preserve">
The total system cost is a calculation, based on the level of detail selected and the assocated inputs.
</t>
        </r>
      </text>
    </comment>
    <comment ref="I69" authorId="0">
      <text>
        <r>
          <rPr>
            <b/>
            <sz val="14"/>
            <rFont val="Tahoma"/>
            <family val="2"/>
          </rPr>
          <t xml:space="preserve">Note:
</t>
        </r>
        <r>
          <rPr>
            <sz val="14"/>
            <rFont val="Tahoma"/>
            <family val="2"/>
          </rPr>
          <t xml:space="preserve">This cell calculates the total of all applicable grants, excluding the payment in lieu of the Federal ITC (also known as the ITC Cash Grant, or Cash Grant), if applicable.  The ITC Cash Grant is considered separately because unlike grants issued upfront and used to offset capital costs, the ITC Cash Grant is disbursed approxiamtely 60 days after the start of commercial operations and therefore becomes an integral part of the project's financing.
Where grants are treated as taxable income, this cell calculates the after-tax impact on the total cost of the project.
  </t>
        </r>
        <r>
          <rPr>
            <sz val="8"/>
            <rFont val="Tahoma"/>
            <family val="2"/>
          </rPr>
          <t xml:space="preserve">
</t>
        </r>
      </text>
    </comment>
    <comment ref="I20" authorId="0">
      <text>
        <r>
          <rPr>
            <b/>
            <sz val="14"/>
            <rFont val="Tahoma"/>
            <family val="2"/>
          </rPr>
          <t>Note:</t>
        </r>
        <r>
          <rPr>
            <sz val="14"/>
            <rFont val="Tahoma"/>
            <family val="2"/>
          </rPr>
          <t xml:space="preserve">
"Generation Equipment" should include all hardware, such as panels and inverters. 
Caution: the model assumes that if "Intermediate" is selected as the level of detail section, the "Generation Equipment" row must have a value greater than zero. 
</t>
        </r>
      </text>
    </comment>
    <comment ref="I21" authorId="0">
      <text>
        <r>
          <rPr>
            <b/>
            <sz val="14"/>
            <rFont val="Tahoma"/>
            <family val="2"/>
          </rPr>
          <t>Note:</t>
        </r>
        <r>
          <rPr>
            <sz val="14"/>
            <rFont val="Tahoma"/>
            <family val="2"/>
          </rPr>
          <t xml:space="preserve">
Balance of Plant (also known as Balance of System) represents all infrastructure, site prep and labor supporting the installation of the generation equipment. BOP costs include foundations, mounting devices, other hardware, and labor not already accounted for in the "Generation Equipment" row.
Input cannot be less than zero.
</t>
        </r>
      </text>
    </comment>
    <comment ref="I22" authorId="0">
      <text>
        <r>
          <rPr>
            <b/>
            <sz val="14"/>
            <rFont val="Tahoma"/>
            <family val="2"/>
          </rPr>
          <t>Note:</t>
        </r>
        <r>
          <rPr>
            <sz val="14"/>
            <rFont val="Tahoma"/>
            <family val="2"/>
          </rPr>
          <t xml:space="preserve">
The "Interconnection" row should account for all project costs relating to connecting to the grid, such as the construction of transmission lines, permitting costs with the utility, and start-up costs. This category will also include the cost of a new substation, if necessary.
Regulators wishing to explore the potential that interconnection costs may be recovered from ratepayers separately can elect to enter zeros in this cost category whenever "Intermediate" or "Complex" is selected.
Input cannot be less than zero.
</t>
        </r>
      </text>
    </comment>
    <comment ref="I24" authorId="0">
      <text>
        <r>
          <rPr>
            <b/>
            <sz val="14"/>
            <rFont val="Tahoma"/>
            <family val="2"/>
          </rPr>
          <t>Note:</t>
        </r>
        <r>
          <rPr>
            <sz val="14"/>
            <rFont val="Tahoma"/>
            <family val="2"/>
          </rPr>
          <t xml:space="preserve">
The "Reserves &amp; Financing Costs" row accounts for all costs relating to financing, such as lender fees, closing costs, legal fees, interest during construction, due diligence costs, and any other relevant, financing relating costs. The model calculates this field by aggregating G22 through G25, G51, G54, G63, G66, Q57 and Q60.
</t>
        </r>
      </text>
    </comment>
    <comment ref="I23" authorId="0">
      <text>
        <r>
          <rPr>
            <b/>
            <sz val="14"/>
            <rFont val="Tahoma"/>
            <family val="2"/>
          </rPr>
          <t>Note:</t>
        </r>
        <r>
          <rPr>
            <sz val="8"/>
            <rFont val="Tahoma"/>
            <family val="2"/>
          </rPr>
          <t xml:space="preserve">
</t>
        </r>
        <r>
          <rPr>
            <sz val="14"/>
            <rFont val="Tahoma"/>
            <family val="2"/>
          </rPr>
          <t xml:space="preserve">The "Development Costs" row should include all costs relating to project management, studies, engineering, permitting, contingencies, success fees, and other soft costs not accounted for elsewhere in the "Intermediate" cost breakdown. 
Input cannot be less than zero.
</t>
        </r>
      </text>
    </comment>
    <comment ref="I25" authorId="0">
      <text>
        <r>
          <rPr>
            <b/>
            <sz val="14"/>
            <rFont val="Tahoma"/>
            <family val="2"/>
          </rPr>
          <t>Note:</t>
        </r>
        <r>
          <rPr>
            <sz val="14"/>
            <rFont val="Tahoma"/>
            <family val="2"/>
          </rPr>
          <t xml:space="preserve">
If you wish to enter your project costs under the "Complex" format, select Complex from the drop-down menu and use the link to the left to access additional worksheets which provide the opportunitiy to add significant, additional detail on project costs. Once complete, the model will roll up the detailed costs and populate this row with the resultant final project cost. </t>
        </r>
      </text>
    </comment>
    <comment ref="I52" authorId="0">
      <text>
        <r>
          <rPr>
            <b/>
            <sz val="14"/>
            <rFont val="Tahoma"/>
            <family val="2"/>
          </rPr>
          <t>Note:</t>
        </r>
        <r>
          <rPr>
            <sz val="14"/>
            <rFont val="Tahoma"/>
            <family val="2"/>
          </rPr>
          <t xml:space="preserve">
Debt "tenor" (also casually referred to as "term"), is the number of years in the debt repayment schedule.   
Caution: If the project will utilize debt, this value must be greater than zero but less than or equal to the total FIT contract duration.
</t>
        </r>
      </text>
    </comment>
    <comment ref="I62" authorId="0">
      <text>
        <r>
          <rPr>
            <b/>
            <sz val="14"/>
            <rFont val="Tahoma"/>
            <family val="2"/>
          </rPr>
          <t>Note:</t>
        </r>
        <r>
          <rPr>
            <sz val="14"/>
            <rFont val="Tahoma"/>
            <family val="2"/>
          </rPr>
          <t xml:space="preserve">
The target after-tax equity IRR is the equity investor's cost of capital -- or "discount rate" -- and is the minimum rate of return that the project owner will seek to attain in order to justify the project compared to alternative investments.  The CREST model assumes a single equity investor taking both cash and tax benefits.  As a result, the target after-tax equity IRR entered here should represent a blend of expected returns for both cash and tax equity investments.
The user should be explicit in his or her assumption regarding the term over which the target after-tax IRR is assumed to be realized. For example, the user could elect to align the return requirement with the tariff payment duration. In this case, the project useful life should be set equal to the tariff duration in order to calculate the COE associated with the target IRR over that period of time. 
In a second example, the user could elect to align the return requirement with the project's useful life. In this case, the user can either assume a tariff duration equal to the project life, or assume market-based revenue for the period after the tariff and before the end of the assumed project useful life.
This input cannot be less than zero.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3" authorId="0">
      <text>
        <r>
          <rPr>
            <b/>
            <sz val="14"/>
            <rFont val="Tahoma"/>
            <family val="2"/>
          </rPr>
          <t>Note:</t>
        </r>
        <r>
          <rPr>
            <sz val="14"/>
            <rFont val="Tahoma"/>
            <family val="2"/>
          </rPr>
          <t xml:space="preserve">
The all-in interest rate is the financing rate provided by the bank or other debt investor.
This input cannot be less than zero.
</t>
        </r>
      </text>
    </comment>
    <comment ref="I36" authorId="0">
      <text>
        <r>
          <rPr>
            <b/>
            <sz val="14"/>
            <rFont val="Tahoma"/>
            <family val="2"/>
          </rPr>
          <t xml:space="preserve">Note:
</t>
        </r>
        <r>
          <rPr>
            <sz val="14"/>
            <rFont val="Tahoma"/>
            <family val="2"/>
          </rPr>
          <t xml:space="preserve">Project owners, or hosts, are required to carry insurance. This input accounts for the estimated cost of insuring the modeling power generating facility.
Input cannot be less than zero.
</t>
        </r>
      </text>
    </comment>
    <comment ref="I38" authorId="0">
      <text>
        <r>
          <rPr>
            <b/>
            <sz val="14"/>
            <rFont val="Tahoma"/>
            <family val="2"/>
          </rPr>
          <t>Note:</t>
        </r>
        <r>
          <rPr>
            <sz val="14"/>
            <rFont val="Tahoma"/>
            <family val="2"/>
          </rPr>
          <t xml:space="preserve">
"Project Management" accounts for the cost of staff time related to managing the project's PPAs, grid integration, and periodic reporting to the system operator and policymakers.  
Input cannot be less than zero.
</t>
        </r>
      </text>
    </comment>
    <comment ref="I39" authorId="0">
      <text>
        <r>
          <rPr>
            <b/>
            <sz val="14"/>
            <rFont val="Tahoma"/>
            <family val="2"/>
          </rPr>
          <t xml:space="preserve">Note:
</t>
        </r>
        <r>
          <rPr>
            <sz val="14"/>
            <rFont val="Tahoma"/>
            <family val="2"/>
          </rPr>
          <t>"Property Tax or PILOT" accounts for costs associated with any local taxes incurred by the project. Many states offer tax exemptions for renewable energy systems; to check your local applicability, please visit: http://dsireusa.org/
*See bottom of introduction page for a list of links 
This line can also be used to account for any PILOTs or Payment in Leiu of Taxes. Developers often negotiate a PILOT with the local community to secure a fixed, predictable payment that serves both parties appropriately. This model allows the user to input a year-one Property Tax or PILOT value along with an annual property tax adjsutment factor (see next cell down). As a result, taxes can be modeled as flat, increasing, or decreasing annually depending on the value entered in the adjustment factor cell below.
Input cannot be less than zero.</t>
        </r>
      </text>
    </comment>
    <comment ref="I42" authorId="0">
      <text>
        <r>
          <rPr>
            <b/>
            <sz val="14"/>
            <rFont val="Tahoma"/>
            <family val="2"/>
          </rPr>
          <t xml:space="preserve">Note:
</t>
        </r>
        <r>
          <rPr>
            <sz val="14"/>
            <rFont val="Tahoma"/>
            <family val="2"/>
          </rPr>
          <t xml:space="preserve">The royalties input accounts for </t>
        </r>
        <r>
          <rPr>
            <b/>
            <u val="single"/>
            <sz val="14"/>
            <rFont val="Tahoma"/>
            <family val="2"/>
          </rPr>
          <t>variable</t>
        </r>
        <r>
          <rPr>
            <sz val="14"/>
            <rFont val="Tahoma"/>
            <family val="2"/>
          </rPr>
          <t xml:space="preserve"> payments to site hosts, neighbors, partners, or other parties which may have a stake in the project and which are NOT covered by the fixed "Land Lease" payment. 
Fixed payments may be applied in addition to, or in lieu of, the royalty payment through the "Land Lease" input above, if applicable.  
</t>
        </r>
        <r>
          <rPr>
            <b/>
            <sz val="14"/>
            <rFont val="Tahoma"/>
            <family val="2"/>
          </rPr>
          <t>Inflation is NOT applied to this input.</t>
        </r>
        <r>
          <rPr>
            <sz val="14"/>
            <rFont val="Tahoma"/>
            <family val="2"/>
          </rPr>
          <t xml:space="preserve"> However, if tariff escalation is selected, then the assumed royalty payment will increase over time since it is calculated as a function of revenue over time.</t>
        </r>
        <r>
          <rPr>
            <b/>
            <sz val="14"/>
            <rFont val="Tahoma"/>
            <family val="2"/>
          </rPr>
          <t xml:space="preserve">
</t>
        </r>
        <r>
          <rPr>
            <sz val="14"/>
            <rFont val="Tahoma"/>
            <family val="2"/>
          </rPr>
          <t xml:space="preserve">If your project's royalty payments are not the same over time, then an average annual royalty payment should be calculated externally and entered in this cell. 
This input cannot be less than zero.
</t>
        </r>
        <r>
          <rPr>
            <sz val="8"/>
            <rFont val="Tahoma"/>
            <family val="2"/>
          </rPr>
          <t xml:space="preserve">
</t>
        </r>
      </text>
    </comment>
    <comment ref="S21" authorId="0">
      <text>
        <r>
          <rPr>
            <b/>
            <sz val="14"/>
            <rFont val="Tahoma"/>
            <family val="2"/>
          </rPr>
          <t xml:space="preserve">NOTE:
</t>
        </r>
        <r>
          <rPr>
            <sz val="14"/>
            <rFont val="Tahoma"/>
            <family val="2"/>
          </rPr>
          <t>The maximum potential Investment Tax Credit (ITC) benefit is assumed to be 30% of those project costs which are depreciable on the 5-year MACRS schedule.  This assumption is purposefully simplified for this analysis.  Project costs depreciated on other bases may also be eligible for the ITC.  Developers should consult with tax counsel for project-specific depreciation and ITC treatment of each project cost.</t>
        </r>
        <r>
          <rPr>
            <sz val="8"/>
            <rFont val="Tahoma"/>
            <family val="2"/>
          </rPr>
          <t xml:space="preserve">
</t>
        </r>
      </text>
    </comment>
    <comment ref="S45" authorId="0">
      <text>
        <r>
          <rPr>
            <b/>
            <sz val="14"/>
            <rFont val="Tahoma"/>
            <family val="2"/>
          </rPr>
          <t xml:space="preserve">Note:
</t>
        </r>
        <r>
          <rPr>
            <sz val="14"/>
            <rFont val="Tahoma"/>
            <family val="2"/>
          </rPr>
          <t xml:space="preserve">Include here the dollar per Watt value of any state-specific rebates or cash grants.
Input cannot be less than zero.
</t>
        </r>
      </text>
    </comment>
    <comment ref="S50"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zero and less than the Project Useful Life.
</t>
        </r>
      </text>
    </comment>
    <comment ref="S24"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27"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58" authorId="0">
      <text>
        <r>
          <rPr>
            <b/>
            <sz val="14"/>
            <rFont val="Tahoma"/>
            <family val="2"/>
          </rPr>
          <t>Note:</t>
        </r>
        <r>
          <rPr>
            <sz val="14"/>
            <rFont val="Tahoma"/>
            <family val="2"/>
          </rPr>
          <t xml:space="preserve">
This input cell allows the user to assume the creation of a reserve account. The value entered here will be accounted for in the project's cash flow, and would be funded evenly over the number of years available between the project's commercial operation and the end of its useful life.
Input cannot be less than zero.
</t>
        </r>
      </text>
    </comment>
    <comment ref="I5" authorId="0">
      <text>
        <r>
          <rPr>
            <b/>
            <sz val="14"/>
            <rFont val="Tahoma"/>
            <family val="2"/>
          </rPr>
          <t xml:space="preserve">Note:
</t>
        </r>
        <r>
          <rPr>
            <sz val="14"/>
            <rFont val="Tahoma"/>
            <family val="2"/>
          </rPr>
          <t xml:space="preserve">Select either PV or Solar Thermal Electric in the drop-down menu to the right.
PV system capacity is modeled in DC and thermal system capacity is modeled in AC, the capacity factor input is modeled in AC for both. In general, the model user should take care to review the units column for each input prior to entering a value and ensure that all modeling inputs are consistent with the units shown for that cell.
</t>
        </r>
      </text>
    </comment>
    <comment ref="S23" authorId="0">
      <text>
        <r>
          <rPr>
            <b/>
            <sz val="14"/>
            <rFont val="Tahoma"/>
            <family val="2"/>
          </rPr>
          <t xml:space="preserve">Note:
</t>
        </r>
        <r>
          <rPr>
            <sz val="14"/>
            <rFont val="Tahoma"/>
            <family val="2"/>
          </rPr>
          <t xml:space="preserve">Calculates the dollar value of the Investment Tax Credit or Cash Grant, if applicable.
</t>
        </r>
      </text>
    </comment>
    <comment ref="S28"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r>
          <rPr>
            <sz val="8"/>
            <rFont val="Tahoma"/>
            <family val="2"/>
          </rPr>
          <t xml:space="preserve">
</t>
        </r>
      </text>
    </comment>
    <comment ref="S51"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S25"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0" authorId="0">
      <text>
        <r>
          <rPr>
            <b/>
            <sz val="14"/>
            <rFont val="Tahoma"/>
            <family val="2"/>
          </rPr>
          <t xml:space="preserve">Note:
</t>
        </r>
        <r>
          <rPr>
            <sz val="14"/>
            <rFont val="Tahoma"/>
            <family val="2"/>
          </rPr>
          <t xml:space="preserve">Impacts tax treatment of PBI if owner is a taxable entity.
</t>
        </r>
      </text>
    </comment>
    <comment ref="S9" authorId="0">
      <text>
        <r>
          <rPr>
            <b/>
            <sz val="14"/>
            <rFont val="Tahoma"/>
            <family val="2"/>
          </rPr>
          <t xml:space="preserve">Note:
</t>
        </r>
        <r>
          <rPr>
            <sz val="14"/>
            <rFont val="Tahoma"/>
            <family val="2"/>
          </rPr>
          <t xml:space="preserve">This is the portion (%) of the tariff which is subject to annual escalation.  
Program administrators may determine that some or all of the tariff rate should be escalated to reflect the uncertainty associated with the future cost of owning and operating an electricity generating facility. This input is separate from the inflation assumed to apply to certain O&amp;M expenses, which is provided as an input in the O&amp;M section below.
Input must be between 0% and 100%.
</t>
        </r>
      </text>
    </comment>
    <comment ref="I27" authorId="0">
      <text>
        <r>
          <rPr>
            <b/>
            <sz val="14"/>
            <rFont val="Tahoma"/>
            <family val="2"/>
          </rPr>
          <t>Note:</t>
        </r>
        <r>
          <rPr>
            <sz val="14"/>
            <rFont val="Tahoma"/>
            <family val="2"/>
          </rPr>
          <t xml:space="preserve">
Calculation based on the total system cost in the cell above and the system size reported. Typical costs (as of 2010) fall between $4/Watt and $10/Watt.</t>
        </r>
        <r>
          <rPr>
            <sz val="8"/>
            <rFont val="Tahoma"/>
            <family val="2"/>
          </rPr>
          <t xml:space="preserve">
</t>
        </r>
      </text>
    </comment>
    <comment ref="S20" authorId="0">
      <text>
        <r>
          <rPr>
            <b/>
            <sz val="14"/>
            <rFont val="Tahoma"/>
            <family val="2"/>
          </rPr>
          <t xml:space="preserve">Note:
</t>
        </r>
        <r>
          <rPr>
            <sz val="14"/>
            <rFont val="Tahoma"/>
            <family val="2"/>
          </rPr>
          <t xml:space="preserve">Some renewable energy projects may be eligible to take advantage of Federal incentives such as the Investment Tax Credit or a cash payment from the Treasury Grant in lieu of the ITC (under Section 1603). 
The CREST model assumes that the ITC or Section 1603 cash grant, as applicable, flows to the project's equity provider in the first commercial operation year - rather than reducing the project's assumed initial installed cost.  The exception to this rule occurs when "carried forward" is selected in the Tax section.  In this case, net operating losses are rolled forward while the tax benefits are used internally by the project.
Information on eligibility for funding opportunities such as these is available online at:
http://dsireusa.org/incentives/incentive.cfm?Incentive_Code=US02F&amp;re=1&amp;ee=1
*See bottom of introduction page for a list of links
</t>
        </r>
      </text>
    </comment>
    <comment ref="S29" authorId="0">
      <text>
        <r>
          <rPr>
            <b/>
            <sz val="14"/>
            <rFont val="Tahoma"/>
            <family val="2"/>
          </rPr>
          <t xml:space="preserve">Note:
</t>
        </r>
        <r>
          <rPr>
            <sz val="14"/>
            <rFont val="Tahoma"/>
            <family val="2"/>
          </rPr>
          <t xml:space="preserve">Some renewable energy projects may be eligible for other federal grants as well, such as funding from the U.S. Department of Agriculture. This input cell can be used to capture those funding opportunities, some of which are outlined online at:
http://dsireusa.org/incentives/index.cfm?state=us&amp;re=1&amp;EE=1
*See bottom of introduction page for a list of links
Input cannot be less than zero.
</t>
        </r>
      </text>
    </comment>
    <comment ref="S57" authorId="0">
      <text>
        <r>
          <rPr>
            <b/>
            <sz val="14"/>
            <rFont val="Tahoma"/>
            <family val="2"/>
          </rPr>
          <t xml:space="preserve">Note:
</t>
        </r>
        <r>
          <rPr>
            <sz val="14"/>
            <rFont val="Tahoma"/>
            <family val="2"/>
          </rPr>
          <t xml:space="preserve">In order to ensure that project owners have sufficient funds to decommission and remove equipment at the end of a project's life, many owners choose to create and fund a reserve account throughout the course of project. 
This input cell allows the modeler to choose whether to pay for project removal by creating and funding a reserve account over the project life by selecting "Operations" or to assume that a project's removal will be funded by selling the equipment, by selecting "Salvage".
</t>
        </r>
      </text>
    </comment>
    <comment ref="S33" authorId="0">
      <text>
        <r>
          <rPr>
            <b/>
            <sz val="14"/>
            <rFont val="Tahoma"/>
            <family val="2"/>
          </rPr>
          <t xml:space="preserve">Note:
</t>
        </r>
        <r>
          <rPr>
            <sz val="14"/>
            <rFont val="Tahoma"/>
            <family val="2"/>
          </rPr>
          <t>This drop-down input cell allows the user to specify whether state, utility or other local incentives are cost-based (e.g. an investment tax credit) or performance-based (e.g. a PTC, Renewable Energy Credit (REC) or other cash payment). The magnitude and terms of these incentives are set in the cells below.
For more information, a useful resource for researching federal and state incentives online is:  
http://dsireusa.org/
*See bottom of introduction page for a list of links</t>
        </r>
      </text>
    </comment>
    <comment ref="I4" authorId="0">
      <text>
        <r>
          <rPr>
            <sz val="14"/>
            <rFont val="Tahoma"/>
            <family val="2"/>
          </rPr>
          <t xml:space="preserve">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
</t>
        </r>
        <r>
          <rPr>
            <sz val="8"/>
            <rFont val="Tahoma"/>
            <family val="2"/>
          </rPr>
          <t xml:space="preserve">
</t>
        </r>
      </text>
    </comment>
    <comment ref="C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S4" authorId="0">
      <text>
        <r>
          <rPr>
            <sz val="14"/>
            <rFont val="Tahoma"/>
            <family val="2"/>
          </rPr>
          <t>Each cell in the "Notes" column provides a brief description of the input in the corresponding row, its application within the model, and (in some cases) the range of values that might be expected to populate that  input cell. It is the model user's responsibility, however, to research and validate the applicability of, and appropriate value for, each input.</t>
        </r>
        <r>
          <rPr>
            <sz val="8"/>
            <rFont val="Tahoma"/>
            <family val="2"/>
          </rPr>
          <t xml:space="preserve">
</t>
        </r>
      </text>
    </comment>
    <comment ref="I30" authorId="0">
      <text>
        <r>
          <rPr>
            <b/>
            <sz val="14"/>
            <rFont val="Tahoma"/>
            <family val="2"/>
          </rPr>
          <t>Note:</t>
        </r>
        <r>
          <rPr>
            <sz val="14"/>
            <rFont val="Tahoma"/>
            <family val="2"/>
          </rPr>
          <t xml:space="preserve">
Select either "Simple" or "Intermediate" O&amp;M expense detail using the drop-down menu to the right.
</t>
        </r>
        <r>
          <rPr>
            <sz val="8"/>
            <rFont val="Tahoma"/>
            <family val="2"/>
          </rPr>
          <t xml:space="preserve">
</t>
        </r>
      </text>
    </comment>
    <comment ref="I37" authorId="0">
      <text>
        <r>
          <rPr>
            <b/>
            <sz val="14"/>
            <rFont val="Tahoma"/>
            <family val="2"/>
          </rPr>
          <t xml:space="preserve">Note:
</t>
        </r>
        <r>
          <rPr>
            <sz val="14"/>
            <rFont val="Tahoma"/>
            <family val="2"/>
          </rPr>
          <t xml:space="preserve">This cell calculates the resulting dollar value cost of insurance based on the input above and the project installed cost (net of financing costs).  It is provided simply as a reference for the user.
</t>
        </r>
        <r>
          <rPr>
            <sz val="8"/>
            <rFont val="Tahoma"/>
            <family val="2"/>
          </rPr>
          <t xml:space="preserve">
</t>
        </r>
      </text>
    </comment>
    <comment ref="I34" authorId="0">
      <text>
        <r>
          <rPr>
            <b/>
            <sz val="14"/>
            <rFont val="Tahoma"/>
            <family val="2"/>
          </rPr>
          <t xml:space="preserve">Note:
</t>
        </r>
        <r>
          <rPr>
            <sz val="14"/>
            <rFont val="Tahoma"/>
            <family val="2"/>
          </rPr>
          <t xml:space="preserve">This feature allows the user to assume that the rate at which expenses change over time is not constant. This cell provides the year in which the first inflation period ends.
Input cannot be less than zero.
</t>
        </r>
      </text>
    </comment>
    <comment ref="I35" authorId="0">
      <text>
        <r>
          <rPr>
            <b/>
            <sz val="14"/>
            <rFont val="Tahoma"/>
            <family val="2"/>
          </rPr>
          <t xml:space="preserve">Note:
</t>
        </r>
        <r>
          <rPr>
            <sz val="14"/>
            <rFont val="Tahoma"/>
            <family val="2"/>
          </rPr>
          <t xml:space="preserve">This cell provides the inflation rate for the remainder of the project's useful life.
Input must be greater than zero.
</t>
        </r>
      </text>
    </comment>
    <comment ref="I46" authorId="0">
      <text>
        <r>
          <rPr>
            <b/>
            <sz val="14"/>
            <rFont val="Tahoma"/>
            <family val="2"/>
          </rPr>
          <t xml:space="preserve">Note:
</t>
        </r>
        <r>
          <rPr>
            <sz val="14"/>
            <rFont val="Tahoma"/>
            <family val="2"/>
          </rPr>
          <t xml:space="preserve">The # of months from construction start to commercial operation. This input cannot be less than zero.
</t>
        </r>
      </text>
    </comment>
    <comment ref="I47" authorId="0">
      <text>
        <r>
          <rPr>
            <b/>
            <sz val="14"/>
            <rFont val="Tahoma"/>
            <family val="2"/>
          </rPr>
          <t xml:space="preserve">Note:
</t>
        </r>
        <r>
          <rPr>
            <sz val="14"/>
            <rFont val="Tahoma"/>
            <family val="2"/>
          </rPr>
          <t xml:space="preserve">The annual interest rate on construction debt. This input cannot be less than zero.
</t>
        </r>
      </text>
    </comment>
    <comment ref="I48" authorId="0">
      <text>
        <r>
          <rPr>
            <b/>
            <sz val="14"/>
            <rFont val="Tahoma"/>
            <family val="2"/>
          </rPr>
          <t xml:space="preserve">Note:
</t>
        </r>
        <r>
          <rPr>
            <sz val="14"/>
            <rFont val="Tahoma"/>
            <family val="2"/>
          </rPr>
          <t xml:space="preserve">A calculated value showing the interest accrued during the construction period. Rather than requiring the user to define a detailed construction draw-down schedule, this calculation makes the simplifying assumption that the total project cost is spent in equal parts in each month of the construction period.
IDC is calculated on total project cost, assuming that any grants are collected after construction financing is repaid at time of permanent financing.
This cell is only used with the "Intermediate" and "Complex" capital cost options. The "Simple" capital cost option assumes that all project costs, including IDC, are included in the single input.
</t>
        </r>
      </text>
    </comment>
    <comment ref="I51" authorId="0">
      <text>
        <r>
          <rPr>
            <b/>
            <sz val="14"/>
            <rFont val="Tahoma"/>
            <family val="2"/>
          </rPr>
          <t xml:space="preserve">Note:
</t>
        </r>
        <r>
          <rPr>
            <sz val="14"/>
            <rFont val="Tahoma"/>
            <family val="2"/>
          </rPr>
          <t xml:space="preserve">For ease of use and comprehension by a wide range of stakeholders, this model allows the user to define the capital structure, and relies on mortgage-style amortization of the project debt. The "% Debt" input specifies the portion of funds borrowed, as a percentage of the total "hard costs." Equity is assumed to fund the remaining hard costs PLUS all "soft costs" (e.g. transaction costs and funding of initial reserve accounts, if applicable).  This input cannot be less than zero.
Where maximum sustainable leverage is desired, the user must manually adjust the "% Debt" entry upward to the highest point </t>
        </r>
        <r>
          <rPr>
            <b/>
            <i/>
            <sz val="14"/>
            <rFont val="Tahoma"/>
            <family val="2"/>
          </rPr>
          <t>before</t>
        </r>
        <r>
          <rPr>
            <sz val="14"/>
            <rFont val="Tahoma"/>
            <family val="2"/>
          </rPr>
          <t xml:space="preserve"> the DSCRs no longer "Pass."
If a specific % Debt is desired, </t>
        </r>
        <r>
          <rPr>
            <u val="single"/>
            <sz val="14"/>
            <rFont val="Tahoma"/>
            <family val="2"/>
          </rPr>
          <t>and such % is higher than the maximum sustainable debt</t>
        </r>
        <r>
          <rPr>
            <sz val="14"/>
            <rFont val="Tahoma"/>
            <family val="2"/>
          </rPr>
          <t xml:space="preserve"> (such that it causes the DSCR to "Fail"), then the user must define the % Debt and then manually adjust the "Target After-Tax Equity IRR" upward until the DSCRs are met.  The user should </t>
        </r>
        <r>
          <rPr>
            <b/>
            <sz val="14"/>
            <rFont val="Tahoma"/>
            <family val="2"/>
          </rPr>
          <t>take note</t>
        </r>
        <r>
          <rPr>
            <sz val="14"/>
            <rFont val="Tahoma"/>
            <family val="2"/>
          </rPr>
          <t xml:space="preserve"> that when leverage becomes very high (and the corresponding equity contribution low), the "Target After-Tax Equity IRR" will need to be adjusted to levels exceeding typical commercial returns </t>
        </r>
        <r>
          <rPr>
            <u val="single"/>
            <sz val="14"/>
            <rFont val="Tahoma"/>
            <family val="2"/>
          </rPr>
          <t>in order to maintain the DSCR ratio</t>
        </r>
        <r>
          <rPr>
            <sz val="14"/>
            <rFont val="Tahoma"/>
            <family val="2"/>
          </rPr>
          <t xml:space="preserve"> on such high debt levels.  For this reason, it is not recommended that users solve for the COE associated with a % Debt that is beyond the maximum sustainable leverage.
If a project is expected to be funded either by a pool of corporate funds or back-leveraged after commercial operation, the user might elect to enter 0% in the "% Debt" cell and enter a weighted average cost of capital (WACC) in the "Target After-Tax Equity IRR" cell.
</t>
        </r>
      </text>
    </comment>
    <comment ref="I54" authorId="0">
      <text>
        <r>
          <rPr>
            <b/>
            <sz val="14"/>
            <rFont val="Tahoma"/>
            <family val="2"/>
          </rPr>
          <t xml:space="preserve">Note:
</t>
        </r>
        <r>
          <rPr>
            <sz val="14"/>
            <rFont val="Tahoma"/>
            <family val="2"/>
          </rPr>
          <t xml:space="preserve">A one-time fee collected by the lender and calculated as a % of the total loan amount. This value is typically between 1% and 4%.
This input cannot be less than zero.
</t>
        </r>
      </text>
    </comment>
    <comment ref="I64" authorId="0">
      <text>
        <r>
          <rPr>
            <b/>
            <sz val="14"/>
            <rFont val="Tahoma"/>
            <family val="2"/>
          </rPr>
          <t xml:space="preserve">Note:
</t>
        </r>
        <r>
          <rPr>
            <sz val="14"/>
            <rFont val="Tahoma"/>
            <family val="2"/>
          </rPr>
          <t>This cell represents the costs of both equity and debt due diligence (if applicable) and other transaction costs.
Input cannot be less than zero.</t>
        </r>
      </text>
    </comment>
    <comment ref="I73" authorId="0">
      <text>
        <r>
          <rPr>
            <b/>
            <sz val="14"/>
            <rFont val="Tahoma"/>
            <family val="2"/>
          </rPr>
          <t xml:space="preserve">Note:
</t>
        </r>
        <r>
          <rPr>
            <sz val="14"/>
            <rFont val="Tahoma"/>
            <family val="2"/>
          </rPr>
          <t xml:space="preserve">Defines whether the project owner is a taxable or non-taxable entity. This determines the treatment of income taxes and other tax-related items.
</t>
        </r>
      </text>
    </comment>
    <comment ref="I74" authorId="0">
      <text>
        <r>
          <rPr>
            <b/>
            <sz val="14"/>
            <rFont val="Tahoma"/>
            <family val="2"/>
          </rPr>
          <t xml:space="preserve">Note:
</t>
        </r>
        <r>
          <rPr>
            <sz val="14"/>
            <rFont val="Tahoma"/>
            <family val="2"/>
          </rPr>
          <t xml:space="preserve">Defines the project's federal income tax rate, if applicable.
Input cannot be less than zero.
</t>
        </r>
      </text>
    </comment>
    <comment ref="I76" authorId="0">
      <text>
        <r>
          <rPr>
            <b/>
            <sz val="14"/>
            <rFont val="Tahoma"/>
            <family val="2"/>
          </rPr>
          <t xml:space="preserve">Note:
</t>
        </r>
        <r>
          <rPr>
            <sz val="14"/>
            <rFont val="Tahoma"/>
            <family val="2"/>
          </rPr>
          <t xml:space="preserve">Defines the project's state income tax rate, if applicable.
Input cannot be less than zero.
</t>
        </r>
      </text>
    </comment>
    <comment ref="I79" authorId="0">
      <text>
        <r>
          <rPr>
            <b/>
            <sz val="14"/>
            <rFont val="Tahoma"/>
            <family val="2"/>
          </rPr>
          <t xml:space="preserve">Note:
</t>
        </r>
        <r>
          <rPr>
            <sz val="14"/>
            <rFont val="Tahoma"/>
            <family val="2"/>
          </rPr>
          <t>Depreciation accounts for the "use" of equipment for tax purposes. The depreciation inputs are provided in the table to the right and on the Complex Capital Costs tab when this option is selected.</t>
        </r>
      </text>
    </comment>
    <comment ref="I78" authorId="0">
      <text>
        <r>
          <rPr>
            <b/>
            <sz val="14"/>
            <rFont val="Tahoma"/>
            <family val="2"/>
          </rPr>
          <t xml:space="preserve">Note:
</t>
        </r>
        <r>
          <rPr>
            <sz val="14"/>
            <rFont val="Tahoma"/>
            <family val="2"/>
          </rPr>
          <t xml:space="preserve">Takes into account the interaction between federal and state tax rates. This is a calculated value.
</t>
        </r>
      </text>
    </comment>
    <comment ref="S34" authorId="0">
      <text>
        <r>
          <rPr>
            <b/>
            <sz val="14"/>
            <rFont val="Tahoma"/>
            <family val="2"/>
          </rPr>
          <t xml:space="preserve">NOTE:
</t>
        </r>
        <r>
          <rPr>
            <sz val="14"/>
            <rFont val="Tahoma"/>
            <family val="2"/>
          </rPr>
          <t xml:space="preserve">The maximum potential Investment Tax Credit (ITC) benefit is assumed to be 30% of those project costs which are depreciable on the 5-year MACRS schedule.
Note that the state investment tax credit can only be applied to state-specific income tax liability.
</t>
        </r>
      </text>
    </comment>
    <comment ref="S36" authorId="0">
      <text>
        <r>
          <rPr>
            <b/>
            <sz val="14"/>
            <rFont val="Tahoma"/>
            <family val="2"/>
          </rPr>
          <t xml:space="preserve">Note:
</t>
        </r>
        <r>
          <rPr>
            <sz val="14"/>
            <rFont val="Tahoma"/>
            <family val="2"/>
          </rPr>
          <t>Specifies whether the available ITC is realized in a single year or over multiple years. This input will be specified by state-specific law or regulation.
A good resource on available state incentives is:  
http://dsireusa.org/
*See bottom of introduction page for a list of links
Input must be greater than 1 and less than the Project Useful Life.</t>
        </r>
      </text>
    </comment>
    <comment ref="S47" authorId="0">
      <text>
        <r>
          <rPr>
            <b/>
            <sz val="14"/>
            <rFont val="Tahoma"/>
            <family val="2"/>
          </rPr>
          <t xml:space="preserve">Note:
</t>
        </r>
        <r>
          <rPr>
            <sz val="14"/>
            <rFont val="Tahoma"/>
            <family val="2"/>
          </rPr>
          <t xml:space="preserve">Select here whether state grants are treated as taxable income.  If no, depreciation basis is reduced. 
</t>
        </r>
      </text>
    </comment>
    <comment ref="S38" authorId="0">
      <text>
        <r>
          <rPr>
            <b/>
            <sz val="14"/>
            <rFont val="Tahoma"/>
            <family val="2"/>
          </rPr>
          <t xml:space="preserve">Note: </t>
        </r>
        <r>
          <rPr>
            <sz val="14"/>
            <rFont val="Tahoma"/>
            <family val="2"/>
          </rPr>
          <t xml:space="preserve">
This input cell, the "Performance Based Incentive" or "PBI" is another potential incentive available to some specific projects. The PBI would be separate from a feed-in-tariff, but acts similarly in that it is per unit of production (typically kWh) income to a project.
Some examples of PBIs include the Federal Production Tax Credit (applicable to private projects with tax appetites) and the Federal Renewable Energy Production Incentive (REPI), historically available to some public projects.
</t>
        </r>
      </text>
    </comment>
    <comment ref="S41" authorId="0">
      <text>
        <r>
          <rPr>
            <b/>
            <sz val="14"/>
            <rFont val="Tahoma"/>
            <family val="2"/>
          </rPr>
          <t xml:space="preserve">Note: </t>
        </r>
        <r>
          <rPr>
            <sz val="14"/>
            <rFont val="Tahoma"/>
            <family val="2"/>
          </rPr>
          <t xml:space="preserve">
This cell denotes the value of the Performance Based Incentive applicable to the project's first year of commercial operation. In some cases, this value will need to be calculated external to the model if such PBI is derived from a "base year" and specified inflation index. The following cells can be used to account for inflation and the maximum term of eligibility.
Input cannot be less than zero.
</t>
        </r>
      </text>
    </comment>
    <comment ref="S43" authorId="0">
      <text>
        <r>
          <rPr>
            <b/>
            <sz val="14"/>
            <rFont val="Tahoma"/>
            <family val="2"/>
          </rPr>
          <t>Note:</t>
        </r>
        <r>
          <rPr>
            <sz val="14"/>
            <rFont val="Tahoma"/>
            <family val="2"/>
          </rPr>
          <t xml:space="preserve">
This is the length of time that a project would be eligible for any Performance Based Incentives outlined in the cell immediately above. For example, the Federal Renewable Energy Production Incentive and Production Tax Credit incentives are available for the first 10 years of project operation.
Input cannot be less than zero.
</t>
        </r>
      </text>
    </comment>
    <comment ref="S44" authorId="0">
      <text>
        <r>
          <rPr>
            <b/>
            <sz val="14"/>
            <rFont val="Tahoma"/>
            <family val="2"/>
          </rPr>
          <t xml:space="preserve">Note:
</t>
        </r>
        <r>
          <rPr>
            <sz val="14"/>
            <rFont val="Tahoma"/>
            <family val="2"/>
          </rPr>
          <t xml:space="preserve">Performance Based Incentives are often adjusted to account for inflation. For example, the Federal Production Tax Credit (PTC) is adjusted each year to account for changes in the GDP IPD index. This cell can be used as a proxy for the inflation that would apply to any PBI incentive entered above.
This input cannot be left blank.
</t>
        </r>
      </text>
    </comment>
    <comment ref="S62" authorId="0">
      <text>
        <r>
          <rPr>
            <b/>
            <sz val="14"/>
            <rFont val="Tahoma"/>
            <family val="2"/>
          </rPr>
          <t>Note:</t>
        </r>
        <r>
          <rPr>
            <sz val="14"/>
            <rFont val="Tahoma"/>
            <family val="2"/>
          </rPr>
          <t xml:space="preserve">
Lenders typically require the project owner to establish a reserve account prior to the commencement of operations to ensure that loan repayments occur in full and on time even if the project has insufficient operating cash flow in a specific period due to lower than expected production, higher costs, or both. The size of the reserve account is typically equal to 6 months of debt service obligation.
Input cannot be less than zero.
</t>
        </r>
      </text>
    </comment>
    <comment ref="S63" authorId="0">
      <text>
        <r>
          <rPr>
            <b/>
            <sz val="14"/>
            <rFont val="Tahoma"/>
            <family val="2"/>
          </rPr>
          <t>Note:</t>
        </r>
        <r>
          <rPr>
            <sz val="14"/>
            <rFont val="Tahoma"/>
            <family val="2"/>
          </rPr>
          <t xml:space="preserve">
Calculated value based on the # months of required reserve and the capital structure and associated periodic debt obligation.
</t>
        </r>
      </text>
    </comment>
    <comment ref="S65" authorId="0">
      <text>
        <r>
          <rPr>
            <b/>
            <sz val="14"/>
            <rFont val="Tahoma"/>
            <family val="2"/>
          </rPr>
          <t>Note:</t>
        </r>
        <r>
          <rPr>
            <sz val="14"/>
            <rFont val="Tahoma"/>
            <family val="2"/>
          </rPr>
          <t xml:space="preserve">
Lenders typically require the project owner to establish a reserve account prior to the commencement of operations to ensure that all O&amp;M expenses can be met even if the project has insufficient operating cash flow in a specific period due to lower than expected production, higher costs, or both. The size of the reserve account is typically 3 to 6 months of O&amp;M expenses, and includes all categories of O&amp;M expenses.
Input cannot be less than zero.
</t>
        </r>
      </text>
    </comment>
    <comment ref="S66" authorId="0">
      <text>
        <r>
          <rPr>
            <b/>
            <sz val="14"/>
            <rFont val="Tahoma"/>
            <family val="2"/>
          </rPr>
          <t>Note:</t>
        </r>
        <r>
          <rPr>
            <sz val="14"/>
            <rFont val="Tahoma"/>
            <family val="2"/>
          </rPr>
          <t xml:space="preserve">
Calculated value based on the # months of required reserve and all annual operating expenses.
</t>
        </r>
      </text>
    </comment>
    <comment ref="S67" authorId="0">
      <text>
        <r>
          <rPr>
            <b/>
            <sz val="14"/>
            <rFont val="Tahoma"/>
            <family val="2"/>
          </rPr>
          <t>Note:</t>
        </r>
        <r>
          <rPr>
            <sz val="14"/>
            <rFont val="Tahoma"/>
            <family val="2"/>
          </rPr>
          <t xml:space="preserve">
Unused reserves earn interest at this rate. Input cannot be less than zero.
</t>
        </r>
      </text>
    </comment>
    <comment ref="AB73" authorId="0">
      <text>
        <r>
          <rPr>
            <b/>
            <sz val="14"/>
            <rFont val="Tahoma"/>
            <family val="2"/>
          </rPr>
          <t>Note:</t>
        </r>
        <r>
          <rPr>
            <sz val="14"/>
            <rFont val="Tahoma"/>
            <family val="2"/>
          </rPr>
          <t xml:space="preserve">
When the "Simple" capital cost option is selected, the depreciation of total project costs is divided among the classifications using this row. The depreciation options associated with other levels of cost detail will be hidden.
</t>
        </r>
        <r>
          <rPr>
            <b/>
            <sz val="14"/>
            <rFont val="Tahoma"/>
            <family val="2"/>
          </rPr>
          <t xml:space="preserve">This row must sum to 100%.
</t>
        </r>
      </text>
    </comment>
    <comment ref="AB74"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9" authorId="0">
      <text>
        <r>
          <rPr>
            <b/>
            <sz val="14"/>
            <rFont val="Tahoma"/>
            <family val="2"/>
          </rPr>
          <t>Note:</t>
        </r>
        <r>
          <rPr>
            <sz val="14"/>
            <rFont val="Tahoma"/>
            <family val="2"/>
          </rPr>
          <t xml:space="preserve">
When the "Complex" capital cost option is selected, each line items is assigned its own depreciation classification using a drop-down menu on the Complex Capital Costs tab.
</t>
        </r>
      </text>
    </comment>
    <comment ref="I55"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Average DSCRs over the life of the loan typically range from 1.2 to 1.5 for private, commercially financed projects, or from 1.1 to 1.3 for publicly owned, bond-financed projects - depending on the level of reserves, or other surety, provided. 
The annual minimum DSCR will depend on the specific terms of the loan and the probability-weighting of the production estimate, but will likely be in the range of 1.0 to 1.3. This input must be greater than 1.
</t>
        </r>
      </text>
    </comment>
    <comment ref="I57" authorId="0">
      <text>
        <r>
          <rPr>
            <b/>
            <sz val="14"/>
            <rFont val="Tahoma"/>
            <family val="2"/>
          </rPr>
          <t>Note:</t>
        </r>
        <r>
          <rPr>
            <sz val="14"/>
            <rFont val="Tahoma"/>
            <family val="2"/>
          </rPr>
          <t xml:space="preserve">
This cell checks that the debt service coverage ratio exceeds the user-defined minimum in each operating year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I61" authorId="0">
      <text>
        <r>
          <rPr>
            <b/>
            <sz val="14"/>
            <rFont val="Tahoma"/>
            <family val="2"/>
          </rPr>
          <t xml:space="preserve">Note:
</t>
        </r>
        <r>
          <rPr>
            <sz val="14"/>
            <rFont val="Tahoma"/>
            <family val="2"/>
          </rPr>
          <t xml:space="preserve">The portion of total project cost funded from equity investors. This cell is a calculation and not an input. It is calculated as 100% minus the "% Debt" entered above.
</t>
        </r>
      </text>
    </comment>
    <comment ref="I75"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S52" authorId="0">
      <text>
        <r>
          <rPr>
            <b/>
            <sz val="14"/>
            <rFont val="Tahoma"/>
            <family val="2"/>
          </rPr>
          <t>Note:</t>
        </r>
        <r>
          <rPr>
            <sz val="14"/>
            <rFont val="Tahoma"/>
            <family val="2"/>
          </rPr>
          <t xml:space="preserve">
In the case of Photovoltaic (PV) projects, one of the major hardware components is the inverter. Unlike panels, which are warrantied for 25 years in many cases, inverters are typically only warrantied for 10 years. These input cells allow for assumptions regarding one or more inverter replacements over a project's useful life.  
Because a warranty is offered typically for years 1-10, a conservative approach is to assume an inverter replacement in year 10. The range for modeling an inverter replacement is typically in the 10-15 year range. 
Caution: Modelers should take into account the contract duration and the project's useful life when considering whether to assume one or two inverter replacements. 
Input should be greater than the year of 1st Equipment Replacement and less than the Project Useful Life.
</t>
        </r>
      </text>
    </comment>
    <comment ref="I15" authorId="0">
      <text>
        <r>
          <rPr>
            <b/>
            <sz val="14"/>
            <rFont val="Tahoma"/>
            <family val="2"/>
          </rPr>
          <t xml:space="preserve">Note:
</t>
        </r>
        <r>
          <rPr>
            <sz val="14"/>
            <rFont val="Tahoma"/>
            <family val="2"/>
          </rPr>
          <t xml:space="preserve">The Project Useful Life is the number of years that the project is expected to be fully operational, reliably delivering electricity to the grid, and generating revenue. This concept is different from the FIT Contract Length, which is administratively determined by policymakers. These two values may be the same if a FIT contract is offered for the project's entire expected useful life. This approach is likely to generate the lowest tariff rate, while successfully attracting investors to renewable energy projects.  
The CREST model is built for a maximum Project Useful Life of 30 years.
Input must be greater than 0 and less than or equal to 30.
</t>
        </r>
      </text>
    </comment>
    <comment ref="S12" authorId="0">
      <text>
        <r>
          <rPr>
            <b/>
            <sz val="14"/>
            <rFont val="Tahoma"/>
            <family val="2"/>
          </rPr>
          <t xml:space="preserve">Note:
</t>
        </r>
        <r>
          <rPr>
            <sz val="14"/>
            <rFont val="Tahoma"/>
            <family val="2"/>
          </rPr>
          <t>If the designated "FIT Contract Length" is less than the defined "Project Useful Life", then this grouping of inputs is used to calculate the project's market-based revenue during the period from FIT contract expiration to the end of the project's life.</t>
        </r>
        <r>
          <rPr>
            <b/>
            <sz val="14"/>
            <rFont val="Tahoma"/>
            <family val="2"/>
          </rPr>
          <t xml:space="preserve">
</t>
        </r>
        <r>
          <rPr>
            <sz val="14"/>
            <rFont val="Tahoma"/>
            <family val="2"/>
          </rPr>
          <t xml:space="preserve">
</t>
        </r>
      </text>
    </comment>
    <comment ref="S14" authorId="0">
      <text>
        <r>
          <rPr>
            <b/>
            <sz val="14"/>
            <rFont val="Tahoma"/>
            <family val="2"/>
          </rPr>
          <t xml:space="preserve">Note:
</t>
        </r>
        <r>
          <rPr>
            <sz val="14"/>
            <rFont val="Tahoma"/>
            <family val="2"/>
          </rPr>
          <t xml:space="preserve">This is the </t>
        </r>
        <r>
          <rPr>
            <b/>
            <sz val="14"/>
            <rFont val="Tahoma"/>
            <family val="2"/>
          </rPr>
          <t>combined</t>
        </r>
        <r>
          <rPr>
            <sz val="14"/>
            <rFont val="Tahoma"/>
            <family val="2"/>
          </rPr>
          <t xml:space="preserve"> (or "bundled") market value of energy + capacity + Renewable Energy Credtis (RECs) in the same year in which the project's first enters commercial operation.
This input must be greater than zero.
</t>
        </r>
      </text>
    </comment>
    <comment ref="S13" authorId="0">
      <text>
        <r>
          <rPr>
            <b/>
            <sz val="14"/>
            <rFont val="Tahoma"/>
            <family val="2"/>
          </rPr>
          <t xml:space="preserve">Note:
</t>
        </r>
        <r>
          <rPr>
            <sz val="14"/>
            <rFont val="Tahoma"/>
            <family val="2"/>
          </rPr>
          <t>Selecting "Year One" forecasts the total market value of production based on an estimate of that value in the project's first year of commercial operation and a user-defined escalation rate.  
Selecting "Year-by-Year" enables the user to enter unique annual values for the period after the FIT expires and before the end of the project's useful life.</t>
        </r>
        <r>
          <rPr>
            <b/>
            <sz val="14"/>
            <rFont val="Tahoma"/>
            <family val="2"/>
          </rPr>
          <t xml:space="preserve">
</t>
        </r>
        <r>
          <rPr>
            <sz val="14"/>
            <rFont val="Tahoma"/>
            <family val="2"/>
          </rPr>
          <t xml:space="preserve">
</t>
        </r>
      </text>
    </comment>
    <comment ref="S16" authorId="0">
      <text>
        <r>
          <rPr>
            <b/>
            <sz val="14"/>
            <rFont val="Tahoma"/>
            <family val="2"/>
          </rPr>
          <t xml:space="preserve">Note:
</t>
        </r>
        <r>
          <rPr>
            <sz val="14"/>
            <rFont val="Tahoma"/>
            <family val="2"/>
          </rPr>
          <t xml:space="preserve">When "Year-by-Year" market value of production forecast is selected, this link brings the user to another worksheet on which unique annual values may be entered.
</t>
        </r>
      </text>
    </comment>
    <comment ref="S15" authorId="0">
      <text>
        <r>
          <rPr>
            <b/>
            <sz val="14"/>
            <rFont val="Tahoma"/>
            <family val="2"/>
          </rPr>
          <t xml:space="preserve">Note:
</t>
        </r>
        <r>
          <rPr>
            <sz val="14"/>
            <rFont val="Tahoma"/>
            <family val="2"/>
          </rPr>
          <t xml:space="preserve">When the "Year One" forecast methodology is selected, this is the user-defined escalation rate at which the market value of production is expected to change.
Input must be greater than zero.
</t>
        </r>
      </text>
    </comment>
    <comment ref="S30" authorId="0">
      <text>
        <r>
          <rPr>
            <b/>
            <sz val="14"/>
            <rFont val="Tahoma"/>
            <family val="2"/>
          </rPr>
          <t xml:space="preserve">Note:
</t>
        </r>
        <r>
          <rPr>
            <sz val="14"/>
            <rFont val="Tahoma"/>
            <family val="2"/>
          </rPr>
          <t xml:space="preserve">Select here whether additional federal grants (other than the section 1603 payment in lieu of the ITC/PTC) are treated as taxable income. If no, depreciation basis is reduced. 
</t>
        </r>
      </text>
    </comment>
    <comment ref="I40" authorId="0">
      <text>
        <r>
          <rPr>
            <b/>
            <sz val="14"/>
            <rFont val="Tahoma"/>
            <family val="2"/>
          </rPr>
          <t xml:space="preserve">Note:
</t>
        </r>
        <r>
          <rPr>
            <sz val="14"/>
            <rFont val="Tahoma"/>
            <family val="2"/>
          </rPr>
          <t xml:space="preserve">The Annual Property Tax Adjustment Factor allows the user to specify whether the Year One tax (or PILOT) value will remain fixed and flat, will decrease (a negative percentage value entered in this cell) or increase (a positive percentage value entered in this cell) over time.  </t>
        </r>
        <r>
          <rPr>
            <sz val="8"/>
            <rFont val="Tahoma"/>
            <family val="2"/>
          </rPr>
          <t xml:space="preserve">
</t>
        </r>
      </text>
    </comment>
    <comment ref="I58" authorId="0">
      <text>
        <r>
          <rPr>
            <b/>
            <sz val="14"/>
            <rFont val="Tahoma"/>
            <family val="2"/>
          </rPr>
          <t>Note:</t>
        </r>
        <r>
          <rPr>
            <sz val="14"/>
            <rFont val="Tahoma"/>
            <family val="2"/>
          </rPr>
          <t xml:space="preserve">
The annual Debt Service Coverage Ratio is calculated by dividing the sum of the annual principal and interest payment into that year's operating cash flow. Lenders will require the DSCR to demonstrate the project's ability to easily meet its annual debt service obligation.
</t>
        </r>
        <r>
          <rPr>
            <u val="single"/>
            <sz val="14"/>
            <rFont val="Tahoma"/>
            <family val="2"/>
          </rPr>
          <t>Average</t>
        </r>
        <r>
          <rPr>
            <sz val="14"/>
            <rFont val="Tahoma"/>
            <family val="2"/>
          </rPr>
          <t xml:space="preserve"> DSCRs over the life of the loan typically range from 1.2 to 1.5 for private, commercially financed projects, or from 1.1 to 1.3 for publicly owned, bond-financed projects - depending on the level of reserves, or other surety, provided. 
The </t>
        </r>
        <r>
          <rPr>
            <u val="single"/>
            <sz val="14"/>
            <rFont val="Tahoma"/>
            <family val="2"/>
          </rPr>
          <t>annual minimum</t>
        </r>
        <r>
          <rPr>
            <sz val="14"/>
            <rFont val="Tahoma"/>
            <family val="2"/>
          </rPr>
          <t xml:space="preserve"> DSCR will depend on the specific terms of the loan and the probability-weighting of the production estimate, but will likely be in the range of 1.0 to 1.3. This input must be greater than 1.
</t>
        </r>
      </text>
    </comment>
    <comment ref="I67"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at the project's "Total Installed Cost."
</t>
        </r>
      </text>
    </comment>
    <comment ref="I68"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0" authorId="0">
      <text>
        <r>
          <rPr>
            <b/>
            <sz val="14"/>
            <rFont val="Tahoma"/>
            <family val="2"/>
          </rPr>
          <t xml:space="preserve">NOTE:
</t>
        </r>
        <r>
          <rPr>
            <sz val="14"/>
            <rFont val="Tahoma"/>
            <family val="2"/>
          </rPr>
          <t xml:space="preserve">The "sources of funding" cells summarize the amount of capital contributed from equity, debt and grants, if applicable. The sum is the same as the project's "Total Installed Cost."
</t>
        </r>
      </text>
    </comment>
    <comment ref="I77" authorId="0">
      <text>
        <r>
          <rPr>
            <b/>
            <sz val="14"/>
            <rFont val="Tahoma"/>
            <family val="2"/>
          </rPr>
          <t xml:space="preserve">Note:
</t>
        </r>
        <r>
          <rPr>
            <sz val="14"/>
            <rFont val="Tahoma"/>
            <family val="2"/>
          </rPr>
          <t xml:space="preserve">Defines whether depreciation and PTC benefits are monetized in the period in which they are generated ("as generated" option) or whether these benefits must be delayed until the project has sufficient tax liability to use these benefits without relying on a 3rd-party investor with tax liability external to the project ("carried forward" method).
</t>
        </r>
      </text>
    </comment>
    <comment ref="F7" authorId="0">
      <text>
        <r>
          <rPr>
            <b/>
            <sz val="8"/>
            <rFont val="Tahoma"/>
            <family val="2"/>
          </rPr>
          <t>See "unit" definitions at the bottom of this worksheet.</t>
        </r>
        <r>
          <rPr>
            <sz val="8"/>
            <rFont val="Tahoma"/>
            <family val="2"/>
          </rPr>
          <t xml:space="preserve">
</t>
        </r>
      </text>
    </comment>
    <comment ref="S19" authorId="0">
      <text>
        <r>
          <rPr>
            <b/>
            <sz val="14"/>
            <rFont val="Tahoma"/>
            <family val="2"/>
          </rPr>
          <t xml:space="preserve">Note:
</t>
        </r>
        <r>
          <rPr>
            <sz val="14"/>
            <rFont val="Tahoma"/>
            <family val="2"/>
          </rPr>
          <t>This drop-down input cell allows the user to specify whether federal incentives are cost-based (e.g. an investment tax credit) or performance-based (e.g. a PTC). The magnitude and terms of these incentives are set in the cells below.
For more information, a useful resource for researching federal and state incentives online is:  
http://dsireusa.org/
*See bottom of introduction page for a list of links</t>
        </r>
      </text>
    </comment>
    <comment ref="AB75"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6"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7"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AB78" authorId="0">
      <text>
        <r>
          <rPr>
            <b/>
            <sz val="14"/>
            <rFont val="Tahoma"/>
            <family val="2"/>
          </rPr>
          <t>Note:</t>
        </r>
        <r>
          <rPr>
            <sz val="14"/>
            <rFont val="Tahoma"/>
            <family val="2"/>
          </rPr>
          <t xml:space="preserve">
When the "Intermediate" capital cost option is selected, the allocation of the specified cost category across the depreciation classifications is done using this row. The depreciation options associated with other levels of cost detail will be hidden.
</t>
        </r>
        <r>
          <rPr>
            <b/>
            <sz val="14"/>
            <rFont val="Tahoma"/>
            <family val="2"/>
          </rPr>
          <t xml:space="preserve">This row must sum to 100%.
</t>
        </r>
      </text>
    </comment>
    <comment ref="I63" authorId="0">
      <text>
        <r>
          <rPr>
            <b/>
            <sz val="14"/>
            <rFont val="Tahoma"/>
            <family val="2"/>
          </rPr>
          <t xml:space="preserve">Note:
</t>
        </r>
        <r>
          <rPr>
            <sz val="14"/>
            <rFont val="Tahoma"/>
            <family val="2"/>
          </rPr>
          <t xml:space="preserve">The weighted average cost of capital combines the after-tax cost of both equity and debt in proportion to their use, and is calculated here for reference.
</t>
        </r>
      </text>
    </comment>
    <comment ref="I43" authorId="0">
      <text>
        <r>
          <rPr>
            <b/>
            <sz val="14"/>
            <rFont val="Tahoma"/>
            <family val="2"/>
          </rPr>
          <t xml:space="preserve">Note:
</t>
        </r>
        <r>
          <rPr>
            <sz val="14"/>
            <rFont val="Tahoma"/>
            <family val="2"/>
          </rPr>
          <t xml:space="preserve">This cell calculates the resulting dollar value cost of royalties paid to landowners or other stakeholders based on the input above and project revenue.  It is provided simply as a reference for the user.
</t>
        </r>
        <r>
          <rPr>
            <sz val="8"/>
            <rFont val="Tahoma"/>
            <family val="2"/>
          </rPr>
          <t xml:space="preserve">
</t>
        </r>
      </text>
    </comment>
    <comment ref="I59" authorId="0">
      <text>
        <r>
          <rPr>
            <b/>
            <sz val="14"/>
            <rFont val="Tahoma"/>
            <family val="2"/>
          </rPr>
          <t>Note:</t>
        </r>
        <r>
          <rPr>
            <sz val="14"/>
            <rFont val="Tahoma"/>
            <family val="2"/>
          </rPr>
          <t xml:space="preserve">
If "#N/A" appears, F9 should be pressed until the calculated COE achieves it's final value.</t>
        </r>
      </text>
    </comment>
    <comment ref="I56" authorId="0">
      <text>
        <r>
          <rPr>
            <b/>
            <sz val="14"/>
            <rFont val="Tahoma"/>
            <family val="2"/>
          </rPr>
          <t>Note:</t>
        </r>
        <r>
          <rPr>
            <sz val="14"/>
            <rFont val="Tahoma"/>
            <family val="2"/>
          </rPr>
          <t xml:space="preserve">
If "#N/A" appears, F9 should be pressed until the calculated COE achieves it's final value.</t>
        </r>
      </text>
    </comment>
    <comment ref="I60" authorId="0">
      <text>
        <r>
          <rPr>
            <b/>
            <sz val="14"/>
            <rFont val="Tahoma"/>
            <family val="2"/>
          </rPr>
          <t>Note:</t>
        </r>
        <r>
          <rPr>
            <sz val="14"/>
            <rFont val="Tahoma"/>
            <family val="2"/>
          </rPr>
          <t xml:space="preserve">
This cell checks that the average debt service coverage ratio exceeds the user-defined minimum during the period for which debt is outstanding (see note in DSCR cell for definition and rationale for DSCR). If the test "fails", the user must choose from one of several options in order to cure this deficiency (the extent to which these options are available will be specific to each project):
1. reduce the amount of project level debt, 
2. increase the feed-in tariff rate in order to generate cash flow sufficient to meet the bank's assumed coverage requirement.  In the CREST model, </t>
        </r>
        <r>
          <rPr>
            <u val="single"/>
            <sz val="14"/>
            <rFont val="Tahoma"/>
            <family val="2"/>
          </rPr>
          <t>this is done by manually increasing the "Target After-Tax Equity IRR."</t>
        </r>
        <r>
          <rPr>
            <sz val="14"/>
            <rFont val="Tahoma"/>
            <family val="2"/>
          </rPr>
          <t xml:space="preserve">
Other possible, but less likely, mechanisms include:
3. increase the loan tenor
4. decrease the interest rate</t>
        </r>
      </text>
    </comment>
    <comment ref="F17" authorId="0">
      <text>
        <r>
          <rPr>
            <b/>
            <sz val="8"/>
            <rFont val="Tahoma"/>
            <family val="2"/>
          </rPr>
          <t>See "unit" definitions at the bottom of this worksheet.</t>
        </r>
        <r>
          <rPr>
            <sz val="8"/>
            <rFont val="Tahoma"/>
            <family val="2"/>
          </rPr>
          <t xml:space="preserve">
</t>
        </r>
      </text>
    </comment>
    <comment ref="F29" authorId="0">
      <text>
        <r>
          <rPr>
            <b/>
            <sz val="8"/>
            <rFont val="Tahoma"/>
            <family val="2"/>
          </rPr>
          <t>See "unit" definitions at the bottom of this worksheet.</t>
        </r>
        <r>
          <rPr>
            <sz val="8"/>
            <rFont val="Tahoma"/>
            <family val="2"/>
          </rPr>
          <t xml:space="preserve">
</t>
        </r>
      </text>
    </comment>
    <comment ref="F45" authorId="0">
      <text>
        <r>
          <rPr>
            <b/>
            <sz val="8"/>
            <rFont val="Tahoma"/>
            <family val="2"/>
          </rPr>
          <t>See "unit" definitions at the bottom of this worksheet.</t>
        </r>
        <r>
          <rPr>
            <sz val="8"/>
            <rFont val="Tahoma"/>
            <family val="2"/>
          </rPr>
          <t xml:space="preserve">
</t>
        </r>
      </text>
    </comment>
    <comment ref="F50" authorId="0">
      <text>
        <r>
          <rPr>
            <b/>
            <sz val="8"/>
            <rFont val="Tahoma"/>
            <family val="2"/>
          </rPr>
          <t>See "unit" definitions at the bottom of this worksheet.</t>
        </r>
        <r>
          <rPr>
            <sz val="8"/>
            <rFont val="Tahoma"/>
            <family val="2"/>
          </rPr>
          <t xml:space="preserve">
</t>
        </r>
      </text>
    </comment>
    <comment ref="F72" authorId="0">
      <text>
        <r>
          <rPr>
            <b/>
            <sz val="8"/>
            <rFont val="Tahoma"/>
            <family val="2"/>
          </rPr>
          <t>See "unit" definitions at the bottom of this worksheet.</t>
        </r>
        <r>
          <rPr>
            <sz val="8"/>
            <rFont val="Tahoma"/>
            <family val="2"/>
          </rPr>
          <t xml:space="preserve">
</t>
        </r>
      </text>
    </comment>
    <comment ref="P7" authorId="0">
      <text>
        <r>
          <rPr>
            <b/>
            <sz val="8"/>
            <rFont val="Tahoma"/>
            <family val="2"/>
          </rPr>
          <t>See "unit" definitions at the bottom of this worksheet.</t>
        </r>
        <r>
          <rPr>
            <sz val="8"/>
            <rFont val="Tahoma"/>
            <family val="2"/>
          </rPr>
          <t xml:space="preserve">
</t>
        </r>
      </text>
    </comment>
    <comment ref="P18" authorId="0">
      <text>
        <r>
          <rPr>
            <b/>
            <sz val="8"/>
            <rFont val="Tahoma"/>
            <family val="2"/>
          </rPr>
          <t>See "unit" definitions at the bottom of this worksheet.</t>
        </r>
        <r>
          <rPr>
            <sz val="8"/>
            <rFont val="Tahoma"/>
            <family val="2"/>
          </rPr>
          <t xml:space="preserve">
</t>
        </r>
      </text>
    </comment>
    <comment ref="P32" authorId="0">
      <text>
        <r>
          <rPr>
            <b/>
            <sz val="8"/>
            <rFont val="Tahoma"/>
            <family val="2"/>
          </rPr>
          <t>See "unit" definitions at the bottom of this worksheet.</t>
        </r>
        <r>
          <rPr>
            <sz val="8"/>
            <rFont val="Tahoma"/>
            <family val="2"/>
          </rPr>
          <t xml:space="preserve">
</t>
        </r>
      </text>
    </comment>
    <comment ref="P55" authorId="0">
      <text>
        <r>
          <rPr>
            <b/>
            <sz val="8"/>
            <rFont val="Tahoma"/>
            <family val="2"/>
          </rPr>
          <t>See "unit" definitions at the bottom of this worksheet.</t>
        </r>
        <r>
          <rPr>
            <sz val="8"/>
            <rFont val="Tahoma"/>
            <family val="2"/>
          </rPr>
          <t xml:space="preserve">
</t>
        </r>
      </text>
    </comment>
    <comment ref="P60" authorId="0">
      <text>
        <r>
          <rPr>
            <b/>
            <sz val="8"/>
            <rFont val="Tahoma"/>
            <family val="2"/>
          </rPr>
          <t>See "unit" definitions at the bottom of this worksheet.</t>
        </r>
        <r>
          <rPr>
            <sz val="8"/>
            <rFont val="Tahoma"/>
            <family val="2"/>
          </rPr>
          <t xml:space="preserve">
</t>
        </r>
      </text>
    </comment>
    <comment ref="I41" authorId="0">
      <text>
        <r>
          <rPr>
            <b/>
            <sz val="14"/>
            <rFont val="Tahoma"/>
            <family val="2"/>
          </rPr>
          <t xml:space="preserve">Note:
</t>
        </r>
        <r>
          <rPr>
            <sz val="14"/>
            <rFont val="Tahoma"/>
            <family val="2"/>
          </rPr>
          <t xml:space="preserve">The Land Lease input represents </t>
        </r>
        <r>
          <rPr>
            <b/>
            <u val="single"/>
            <sz val="14"/>
            <rFont val="Tahoma"/>
            <family val="2"/>
          </rPr>
          <t>fixed</t>
        </r>
        <r>
          <rPr>
            <sz val="14"/>
            <rFont val="Tahoma"/>
            <family val="2"/>
          </rPr>
          <t xml:space="preserve"> payments to the site host (and possibly other affected parties) for the use of the land on which the project is located.  
Variable royalty payments may be applied in addition to, or in lieu of, the land lease payment through the "Royalties" input below, if applicable.  
Input cannot be less than zero.
</t>
        </r>
      </text>
    </comment>
    <comment ref="S70" authorId="0">
      <text>
        <r>
          <rPr>
            <b/>
            <sz val="14"/>
            <rFont val="Tahoma"/>
            <family val="2"/>
          </rPr>
          <t>Note:</t>
        </r>
        <r>
          <rPr>
            <sz val="14"/>
            <rFont val="Tahoma"/>
            <family val="2"/>
          </rPr>
          <t xml:space="preserve">
To qualify for Bonus Depreciation the property must have a recovery period of 20 years or less (under normal federal tax depreciation rules), and the project must commence operation in the year in which bonus depreciation is in effect and under the ownership of the entity claiming the deduction. 
For qualifying projects, the owner is entitled to deduct 50% of the adjusted basis of the property during the tax year the property is first placed in service. The remaining 50% of the adjusted basis of the property is depreciated over the ordinary MACRS depreciation schedule. The bonus depreciation rules do not override the depreciation limit applicable to projects qualifying for the federal ITC. Before calculating depreciation for such a project, including any bonus depreciation, the adjusted basis of the project must be reduced by one-half of the amount of the ITC for which the project qualifies. 
</t>
        </r>
      </text>
    </comment>
    <comment ref="S71" authorId="0">
      <text>
        <r>
          <rPr>
            <b/>
            <sz val="14"/>
            <rFont val="Tahoma"/>
            <family val="2"/>
          </rPr>
          <t>Note:</t>
        </r>
        <r>
          <rPr>
            <sz val="14"/>
            <rFont val="Tahoma"/>
            <family val="2"/>
          </rPr>
          <t xml:space="preserve">
This input allows the user to define the bonus depreciation % applied in Year 1, if applicable.  Historically, federal bonus depreciation has been 50% of the eligible cost basis (after taking into account reductions in such cost basis for the ITC, if applicable).  
Input cannot be less than zero.
</t>
        </r>
      </text>
    </comment>
    <comment ref="M4" authorId="0">
      <text>
        <r>
          <rPr>
            <sz val="14"/>
            <rFont val="Tahoma"/>
            <family val="2"/>
          </rPr>
          <t xml:space="preserve">The "Check" column evaluates whether or not values have been enterred in all required fields.  Green denotes an accepted entry in a required field or a calculation for which the minimum required precedents have been satisfied.  Red denotes the absence of an entry in a required field, or a calculation for which the minimum required precendents have NOT been satisfied.
</t>
        </r>
        <r>
          <rPr>
            <b/>
            <sz val="14"/>
            <rFont val="Tahoma"/>
            <family val="2"/>
          </rPr>
          <t>Please note</t>
        </r>
        <r>
          <rPr>
            <sz val="14"/>
            <rFont val="Tahoma"/>
            <family val="2"/>
          </rPr>
          <t xml:space="preserve"> that while the "Check" column ensures the population of all required fields, this column does NOT validate the magnitude of such entries.  It is the model user's responsibility to provide inputs which accurately represent the project being modeled.  In some cases, a range of typical values for a specified input are provided in that input's "Notes" cell.
</t>
        </r>
      </text>
    </comment>
    <comment ref="I33" authorId="0">
      <text>
        <r>
          <rPr>
            <b/>
            <sz val="14"/>
            <rFont val="Tahoma"/>
            <family val="2"/>
          </rPr>
          <t>Note:</t>
        </r>
        <r>
          <rPr>
            <sz val="14"/>
            <rFont val="Tahoma"/>
            <family val="2"/>
          </rPr>
          <t xml:space="preserve">
This inflation rate applies to both fixed and variable O&amp;M expense, insurance, and project management costs entered above, if applicable. 
The model allows the user to specify an inflation assumption for an "initial period" and a second inflation assumption "thereafter." These inputs can be used to account for inflation which might be fixed during an initial O&amp;M service contract, but are unknown thereafter.  The final year of the "initial period" is  user-defined (e.g. final year of an O&amp;M service contract). 
The purpose of this feature is also to recognize that inflationary trends may change over time, or that some projects may not expect inflation of O&amp;M expenses for the first several years, but may expect inflation thereafter.
This inflation rate does not apply to PILOT or Royalty costs. Input cannot be less than zero.
</t>
        </r>
      </text>
    </comment>
    <comment ref="S10" authorId="0">
      <text>
        <r>
          <rPr>
            <b/>
            <sz val="14"/>
            <rFont val="Tahoma"/>
            <family val="2"/>
          </rPr>
          <t xml:space="preserve">Note:
</t>
        </r>
        <r>
          <rPr>
            <sz val="14"/>
            <rFont val="Tahoma"/>
            <family val="2"/>
          </rPr>
          <t xml:space="preserve">To calculate a </t>
        </r>
        <r>
          <rPr>
            <b/>
            <sz val="14"/>
            <rFont val="Tahoma"/>
            <family val="2"/>
          </rPr>
          <t>nominal levelized tariff rate</t>
        </r>
        <r>
          <rPr>
            <sz val="14"/>
            <rFont val="Tahoma"/>
            <family val="2"/>
          </rPr>
          <t xml:space="preserve">, the "feed-in tariff escalation rate" field should be </t>
        </r>
        <r>
          <rPr>
            <b/>
            <sz val="14"/>
            <rFont val="Tahoma"/>
            <family val="2"/>
          </rPr>
          <t>set to zero</t>
        </r>
        <r>
          <rPr>
            <sz val="14"/>
            <rFont val="Tahoma"/>
            <family val="2"/>
          </rPr>
          <t>.</t>
        </r>
        <r>
          <rPr>
            <b/>
            <sz val="14"/>
            <rFont val="Tahoma"/>
            <family val="2"/>
          </rPr>
          <t xml:space="preserve">
</t>
        </r>
        <r>
          <rPr>
            <sz val="14"/>
            <rFont val="Tahoma"/>
            <family val="2"/>
          </rPr>
          <t xml:space="preserve">Where applied, tariff rate escalation is intended to serve as a risk mitigating tool, at least partially protecting the project investor from the uncertainty associated with the future cost of owning and operating the renewable energy facility. The escalation rate can be used to assume a year over year increase in all, or a portion, of the per unit payment provided to eligible generators. This concept is separate from inflationary adjustments to future operating cost assumptions -- which are input below.
This rate is applied annually.  Note that in this model, calendar years and tariff years are aligned.
</t>
        </r>
        <r>
          <rPr>
            <b/>
            <sz val="14"/>
            <rFont val="Tahoma"/>
            <family val="2"/>
          </rPr>
          <t>Caution:</t>
        </r>
        <r>
          <rPr>
            <sz val="14"/>
            <rFont val="Tahoma"/>
            <family val="2"/>
          </rPr>
          <t xml:space="preserve"> A value must be entered into this cell in order for the model to function properly. The input can be positive or negative (if the FIT value decreases over time), and a typical value may fall between 0% and 5%.  
</t>
        </r>
      </text>
    </comment>
    <comment ref="S53" authorId="0">
      <text>
        <r>
          <rPr>
            <b/>
            <sz val="14"/>
            <rFont val="Tahoma"/>
            <family val="2"/>
          </rPr>
          <t xml:space="preserve">Note:
</t>
        </r>
        <r>
          <rPr>
            <sz val="14"/>
            <rFont val="Tahoma"/>
            <family val="2"/>
          </rPr>
          <t>The cost of an inverter replacement is often difficult to assess, given that costs are typically attributable to an item that would be purchased more than 10 years from commercial operation. Current pricing typically falls in the $0.1 - $0.5/Watt ($100-$500/kW) range, although it is expected to decrease over time. The input placed in this cell must be in nominal dollars -- reflecting the expected cost of the equipment in the year replaced. Funds sufficient to pay for this replacement are then reserved through operations in equal amounts until the year in which the replacement occurs.
Note: This model assumes that future equipment purchases, such as inverter replacements, will be depreciated on 5-yr MACRS basis.
Input must be greater than zero.</t>
        </r>
      </text>
    </comment>
    <comment ref="I31" authorId="0">
      <text>
        <r>
          <rPr>
            <b/>
            <sz val="14"/>
            <rFont val="Tahoma"/>
            <family val="2"/>
          </rPr>
          <t>Note:</t>
        </r>
        <r>
          <rPr>
            <sz val="14"/>
            <rFont val="Tahoma"/>
            <family val="2"/>
          </rPr>
          <t xml:space="preserve">
If "Simple" is selected in the cell above, then this input should reflect the </t>
        </r>
        <r>
          <rPr>
            <b/>
            <u val="single"/>
            <sz val="14"/>
            <rFont val="Tahoma"/>
            <family val="2"/>
          </rPr>
          <t>total</t>
        </r>
        <r>
          <rPr>
            <sz val="14"/>
            <rFont val="Tahoma"/>
            <family val="2"/>
          </rPr>
          <t xml:space="preserve"> expected </t>
        </r>
        <r>
          <rPr>
            <b/>
            <u val="single"/>
            <sz val="14"/>
            <rFont val="Tahoma"/>
            <family val="2"/>
          </rPr>
          <t>fixed</t>
        </r>
        <r>
          <rPr>
            <sz val="14"/>
            <rFont val="Tahoma"/>
            <family val="2"/>
          </rPr>
          <t xml:space="preserve"> cost of project operations and maintenance, in $/kW-yr.  This </t>
        </r>
        <r>
          <rPr>
            <u val="single"/>
            <sz val="14"/>
            <rFont val="Tahoma"/>
            <family val="2"/>
          </rPr>
          <t>includes</t>
        </r>
        <r>
          <rPr>
            <sz val="14"/>
            <rFont val="Tahoma"/>
            <family val="2"/>
          </rPr>
          <t xml:space="preserve"> the insurance, project management, property tax (or payment in lieu thereof), land lease, and royalty expenses which would have been broken out separately in the "Intermediate" case.  Other labor and spare parts should also be included in this estimate.
If the user has obtained O&amp;M expense estimates from a third-party, it is critical to understand which costs have been included.  If the user is not certain that all of the above-listed expenses are included in the fixed cost estimate, then the "Intermediate" approach should be used and these expenses should be entered separately.
If "Intermediate" is selected, then this input should reflect  the expected annual fixed O&amp;M cost before taking into account the additional listed expenses, which are entered below. 
In all cases, fixed O&amp;M would include - among others - the ongoing cost of obtaining daily, weekly or monthly production estimates based on weather and other factors.
Input value must be greater than zero. 
</t>
        </r>
      </text>
    </comment>
    <comment ref="I32" authorId="0">
      <text>
        <r>
          <rPr>
            <b/>
            <sz val="14"/>
            <rFont val="Tahoma"/>
            <family val="2"/>
          </rPr>
          <t>Note:</t>
        </r>
        <r>
          <rPr>
            <sz val="14"/>
            <rFont val="Tahoma"/>
            <family val="2"/>
          </rPr>
          <t xml:space="preserve">
This cell provides the user with the option of accounting for O&amp;M expenses (such as labor and spare parts) which are more easily estimated and modeled on a variable, cents per kWh basis.  
If "Simple" is selected above, then this cell should also take into account variable costs, such as royalties, </t>
        </r>
        <r>
          <rPr>
            <b/>
            <u val="single"/>
            <sz val="14"/>
            <rFont val="Tahoma"/>
            <family val="2"/>
          </rPr>
          <t>if</t>
        </r>
        <r>
          <rPr>
            <sz val="14"/>
            <rFont val="Tahoma"/>
            <family val="2"/>
          </rPr>
          <t xml:space="preserve"> such annual expenses are not already accounted for in the fixed cost input above.
Input cannot be less than zero.
</t>
        </r>
      </text>
    </comment>
    <comment ref="S37" authorId="0">
      <text>
        <r>
          <rPr>
            <b/>
            <sz val="14"/>
            <rFont val="Tahoma"/>
            <family val="2"/>
          </rPr>
          <t xml:space="preserve">Note:
</t>
        </r>
        <r>
          <rPr>
            <sz val="14"/>
            <rFont val="Tahoma"/>
            <family val="2"/>
          </rPr>
          <t xml:space="preserve">Calculates the dollar value of the State Investment Tax Credit, if applicable.
</t>
        </r>
      </text>
    </comment>
    <comment ref="I9" authorId="0">
      <text>
        <r>
          <rPr>
            <b/>
            <sz val="14"/>
            <rFont val="Tahoma"/>
            <family val="2"/>
          </rPr>
          <t>Note:</t>
        </r>
        <r>
          <rPr>
            <sz val="14"/>
            <rFont val="Tahoma"/>
            <family val="2"/>
          </rPr>
          <t xml:space="preserve">
This input toggle allows the user to elect whether to provide his/her own Net Capacity Factor (the "Custom" option) or to select the state in which the project resides and allow the model to populate the Net Capacity Factor using a statewide average value provided by NREL (the "State Average" option).
If State Average is selected, it should be noted that individual project capacity factors will vary based on site-specific conditions.</t>
        </r>
      </text>
    </comment>
    <comment ref="I10" authorId="0">
      <text>
        <r>
          <rPr>
            <b/>
            <sz val="14"/>
            <rFont val="Tahoma"/>
            <family val="2"/>
          </rPr>
          <t>Note:</t>
        </r>
        <r>
          <rPr>
            <sz val="14"/>
            <rFont val="Tahoma"/>
            <family val="2"/>
          </rPr>
          <t xml:space="preserve">
Select the state in which the project has been, or is expected to be, installed.
It should be noted that individual project capacity factors will vary based on site-specific conditions.
The net capacity factor provided assumes fixed tilt, facing south at 25 degrees. Source = PV Watts</t>
        </r>
      </text>
    </comment>
    <comment ref="I11" authorId="0">
      <text>
        <r>
          <rPr>
            <b/>
            <sz val="14"/>
            <rFont val="Tahoma"/>
            <family val="2"/>
          </rPr>
          <t>Note:</t>
        </r>
        <r>
          <rPr>
            <sz val="14"/>
            <rFont val="Tahoma"/>
            <family val="2"/>
          </rPr>
          <t xml:space="preserve">
If the "Custom" option is selected, then enter the projects (expected) Net Capacity Factor here.
</t>
        </r>
      </text>
    </comment>
    <comment ref="S46" authorId="0">
      <text>
        <r>
          <rPr>
            <b/>
            <sz val="14"/>
            <rFont val="Tahoma"/>
            <family val="2"/>
          </rPr>
          <t xml:space="preserve">Note:
</t>
        </r>
        <r>
          <rPr>
            <sz val="14"/>
            <rFont val="Tahoma"/>
            <family val="2"/>
          </rPr>
          <t xml:space="preserve">Enter here the maximum dollar value ("cap") of any state-specific rebate or grant.
If no cap exists, enter zero.
Input cannot be less than zero.
</t>
        </r>
      </text>
    </comment>
    <comment ref="S39" authorId="0">
      <text>
        <r>
          <rPr>
            <b/>
            <sz val="14"/>
            <rFont val="Tahoma"/>
            <family val="2"/>
          </rPr>
          <t xml:space="preserve">Note:
</t>
        </r>
        <r>
          <rPr>
            <sz val="14"/>
            <rFont val="Tahoma"/>
            <family val="2"/>
          </rPr>
          <t xml:space="preserve">Enter here the annual dollar value ("cap") of any state-specific production incentive.
</t>
        </r>
        <r>
          <rPr>
            <b/>
            <sz val="16"/>
            <rFont val="Tahoma"/>
            <family val="2"/>
          </rPr>
          <t>If no cap exists, enter zero.</t>
        </r>
        <r>
          <rPr>
            <sz val="14"/>
            <rFont val="Tahoma"/>
            <family val="2"/>
          </rPr>
          <t xml:space="preserve">
Input cannot be less than zero.
</t>
        </r>
      </text>
    </comment>
    <comment ref="Q21" authorId="0">
      <text>
        <r>
          <rPr>
            <b/>
            <sz val="9"/>
            <rFont val="Tahoma"/>
            <family val="2"/>
          </rPr>
          <t>Author:</t>
        </r>
        <r>
          <rPr>
            <sz val="9"/>
            <rFont val="Tahoma"/>
            <family val="2"/>
          </rPr>
          <t xml:space="preserve">
Set to 30% based on current ITC and assumption all projects are built before 2020 and receive the full credit</t>
        </r>
      </text>
    </comment>
    <comment ref="Q51" authorId="0">
      <text>
        <r>
          <rPr>
            <b/>
            <sz val="9"/>
            <rFont val="Tahoma"/>
            <family val="2"/>
          </rPr>
          <t>Author:</t>
        </r>
        <r>
          <rPr>
            <sz val="9"/>
            <rFont val="Tahoma"/>
            <family val="2"/>
          </rPr>
          <t xml:space="preserve">
Source: NREL Q1  2017 benchmarking study, slide 24.
https://www.nrel.gov/docs/fy17osti/68580.pdf</t>
        </r>
      </text>
    </comment>
    <comment ref="G53" authorId="0">
      <text>
        <r>
          <rPr>
            <b/>
            <sz val="9"/>
            <rFont val="Tahoma"/>
            <family val="2"/>
          </rPr>
          <t xml:space="preserve">Author:
</t>
        </r>
        <r>
          <rPr>
            <sz val="9"/>
            <rFont val="Tahoma"/>
            <family val="2"/>
          </rPr>
          <t>Source: Elevate Energy Data Response 6/26/2017</t>
        </r>
      </text>
    </comment>
    <comment ref="Q53" authorId="0">
      <text>
        <r>
          <rPr>
            <b/>
            <sz val="9"/>
            <rFont val="Tahoma"/>
            <family val="2"/>
          </rPr>
          <t>Author:</t>
        </r>
        <r>
          <rPr>
            <sz val="9"/>
            <rFont val="Tahoma"/>
            <family val="2"/>
          </rPr>
          <t xml:space="preserve">
Based on NREL Q1  benchmarking study, slide 19.
http://www.nrel.gov/docs/fy16osti/67142.pdf</t>
        </r>
      </text>
    </comment>
    <comment ref="Q45" authorId="0">
      <text>
        <r>
          <rPr>
            <b/>
            <sz val="9"/>
            <rFont val="Tahoma"/>
            <family val="2"/>
          </rPr>
          <t>Author:</t>
        </r>
        <r>
          <rPr>
            <sz val="9"/>
            <rFont val="Tahoma"/>
            <family val="2"/>
          </rPr>
          <t xml:space="preserve">
Smart Inverter Rebate discussed in Section 6.8.2 </t>
        </r>
      </text>
    </comment>
    <comment ref="G42" authorId="0">
      <text>
        <r>
          <rPr>
            <b/>
            <sz val="9"/>
            <rFont val="Tahoma"/>
            <family val="2"/>
          </rPr>
          <t>Author:</t>
        </r>
        <r>
          <rPr>
            <sz val="9"/>
            <rFont val="Tahoma"/>
            <family val="2"/>
          </rPr>
          <t xml:space="preserve">
SEIA recommended this be set to 0% </t>
        </r>
      </text>
    </comment>
    <comment ref="G38" authorId="0">
      <text>
        <r>
          <rPr>
            <b/>
            <sz val="9"/>
            <rFont val="Tahoma"/>
            <family val="2"/>
          </rPr>
          <t>Author:</t>
        </r>
        <r>
          <rPr>
            <sz val="9"/>
            <rFont val="Tahoma"/>
            <family val="2"/>
          </rPr>
          <t xml:space="preserve">
Source: SEIA comment on Draft LTRRPP, page 7. SEIA proposed asset management $5 per kW DC per year.</t>
        </r>
      </text>
    </comment>
    <comment ref="G69" authorId="0">
      <text>
        <r>
          <rPr>
            <b/>
            <sz val="9"/>
            <rFont val="Tahoma"/>
            <family val="2"/>
          </rPr>
          <t>Author:</t>
        </r>
        <r>
          <rPr>
            <sz val="9"/>
            <rFont val="Tahoma"/>
            <family val="2"/>
          </rPr>
          <t xml:space="preserve">
Value of the smart inverter rebate</t>
        </r>
      </text>
    </comment>
    <comment ref="G12" authorId="0">
      <text>
        <r>
          <rPr>
            <b/>
            <sz val="9"/>
            <rFont val="Tahoma"/>
            <family val="2"/>
          </rPr>
          <t xml:space="preserve">Author:
</t>
        </r>
        <r>
          <rPr>
            <sz val="9"/>
            <rFont val="Tahoma"/>
            <family val="2"/>
          </rPr>
          <t>Source: See Section 6.14.5 of the LTRRPP</t>
        </r>
      </text>
    </comment>
    <comment ref="G31" authorId="0">
      <text>
        <r>
          <rPr>
            <b/>
            <sz val="9"/>
            <rFont val="Tahoma"/>
            <family val="2"/>
          </rPr>
          <t>Author:</t>
        </r>
        <r>
          <rPr>
            <sz val="9"/>
            <rFont val="Tahoma"/>
            <family val="2"/>
          </rPr>
          <t xml:space="preserve">
Source: SEIA comment on Draft LTRRPP, page 7.</t>
        </r>
      </text>
    </comment>
    <comment ref="Q14" authorId="0">
      <text>
        <r>
          <rPr>
            <b/>
            <sz val="9"/>
            <rFont val="Tahoma"/>
            <family val="2"/>
          </rPr>
          <t>Author:</t>
        </r>
        <r>
          <rPr>
            <sz val="9"/>
            <rFont val="Tahoma"/>
            <family val="2"/>
          </rPr>
          <t xml:space="preserve">
Source: SEIA comment on Draft LTRRPP, page 10.</t>
        </r>
      </text>
    </comment>
    <comment ref="G36" authorId="0">
      <text>
        <r>
          <rPr>
            <b/>
            <sz val="9"/>
            <rFont val="Tahoma"/>
            <family val="2"/>
          </rPr>
          <t>Author:</t>
        </r>
        <r>
          <rPr>
            <sz val="9"/>
            <rFont val="Tahoma"/>
            <family val="2"/>
          </rPr>
          <t xml:space="preserve">
Source: SEIA comment on Draft LTRRPP, page 5.</t>
        </r>
      </text>
    </comment>
    <comment ref="G40" authorId="0">
      <text>
        <r>
          <rPr>
            <b/>
            <sz val="9"/>
            <rFont val="Tahoma"/>
            <family val="2"/>
          </rPr>
          <t>Author:</t>
        </r>
        <r>
          <rPr>
            <sz val="9"/>
            <rFont val="Tahoma"/>
            <family val="2"/>
          </rPr>
          <t xml:space="preserve">
Source: SEIA comment on Draft LTRRPP, page 5.</t>
        </r>
      </text>
    </comment>
    <comment ref="G62" authorId="0">
      <text>
        <r>
          <rPr>
            <b/>
            <sz val="9"/>
            <rFont val="Tahoma"/>
            <family val="2"/>
          </rPr>
          <t>Author:</t>
        </r>
        <r>
          <rPr>
            <sz val="9"/>
            <rFont val="Tahoma"/>
            <family val="2"/>
          </rPr>
          <t xml:space="preserve">
Source: Grid Alternatives Data Response, page 12. </t>
        </r>
      </text>
    </comment>
    <comment ref="G76" authorId="0">
      <text>
        <r>
          <rPr>
            <b/>
            <sz val="9"/>
            <rFont val="Tahoma"/>
            <family val="2"/>
          </rPr>
          <t>Author:</t>
        </r>
        <r>
          <rPr>
            <sz val="9"/>
            <rFont val="Tahoma"/>
            <family val="2"/>
          </rPr>
          <t xml:space="preserve">
9.50% per IL income tax rates
http://www.revenue.state.il.us/TaxRates/Income.htm
http://tax.illinois.gov/localgovernment/overview/howdisbursed/replacement.htm
</t>
        </r>
      </text>
    </comment>
    <comment ref="G74" authorId="0">
      <text>
        <r>
          <rPr>
            <b/>
            <sz val="9"/>
            <rFont val="Tahoma"/>
            <family val="2"/>
          </rPr>
          <t>Author:</t>
        </r>
        <r>
          <rPr>
            <sz val="9"/>
            <rFont val="Tahoma"/>
            <family val="2"/>
          </rPr>
          <t xml:space="preserve">
Source: Public Law 115-97 </t>
        </r>
      </text>
    </comment>
    <comment ref="P71" authorId="0">
      <text>
        <r>
          <rPr>
            <b/>
            <sz val="9"/>
            <rFont val="Tahoma"/>
            <family val="2"/>
          </rPr>
          <t>Author:</t>
        </r>
        <r>
          <rPr>
            <sz val="9"/>
            <rFont val="Tahoma"/>
            <family val="2"/>
          </rPr>
          <t xml:space="preserve">
Source: Public Law 115-97</t>
        </r>
      </text>
    </comment>
  </commentList>
</comments>
</file>

<file path=xl/comments3.xml><?xml version="1.0" encoding="utf-8"?>
<comments xmlns="http://schemas.openxmlformats.org/spreadsheetml/2006/main">
  <authors>
    <author>Author</author>
  </authors>
  <commentList>
    <comment ref="D18" authorId="0">
      <text>
        <r>
          <rPr>
            <b/>
            <sz val="9"/>
            <rFont val="Tahoma"/>
            <family val="2"/>
          </rPr>
          <t>Author:</t>
        </r>
        <r>
          <rPr>
            <sz val="9"/>
            <rFont val="Tahoma"/>
            <family val="2"/>
          </rPr>
          <t xml:space="preserve">
Source: SEIA comment on Draft LTRRPP, page 13.</t>
        </r>
      </text>
    </comment>
    <comment ref="D15" authorId="0">
      <text>
        <r>
          <rPr>
            <b/>
            <sz val="9"/>
            <rFont val="Tahoma"/>
            <family val="2"/>
          </rPr>
          <t xml:space="preserve">Author:
</t>
        </r>
        <r>
          <rPr>
            <sz val="9"/>
            <rFont val="Tahoma"/>
            <family val="2"/>
          </rPr>
          <t>Source: SEIA comment on Draft LTRRPP, page 5.
*Applies only to Community Solar*</t>
        </r>
      </text>
    </comment>
    <comment ref="D12" authorId="0">
      <text>
        <r>
          <rPr>
            <b/>
            <sz val="9"/>
            <rFont val="Tahoma"/>
            <family val="2"/>
          </rPr>
          <t xml:space="preserve">Author:
</t>
        </r>
        <r>
          <rPr>
            <sz val="9"/>
            <rFont val="Tahoma"/>
            <family val="2"/>
          </rPr>
          <t>Source: SEIA comment on Draft LTRRPP, page 5.
*Applies only to Community Solar*</t>
        </r>
      </text>
    </comment>
    <comment ref="D6" authorId="0">
      <text>
        <r>
          <rPr>
            <b/>
            <sz val="9"/>
            <rFont val="Tahoma"/>
            <family val="2"/>
          </rPr>
          <t>Author:</t>
        </r>
        <r>
          <rPr>
            <sz val="9"/>
            <rFont val="Tahoma"/>
            <family val="2"/>
          </rPr>
          <t xml:space="preserve">
Source: Joint Solar Parties Objections at 31-33</t>
        </r>
      </text>
    </comment>
    <comment ref="D7" authorId="0">
      <text>
        <r>
          <rPr>
            <b/>
            <sz val="9"/>
            <rFont val="Tahoma"/>
            <family val="2"/>
          </rPr>
          <t>Author:</t>
        </r>
        <r>
          <rPr>
            <sz val="9"/>
            <rFont val="Tahoma"/>
            <family val="2"/>
          </rPr>
          <t xml:space="preserve">
Source: Joint Solar Parties Response at 31</t>
        </r>
      </text>
    </comment>
    <comment ref="D9" authorId="0">
      <text>
        <r>
          <rPr>
            <b/>
            <sz val="9"/>
            <rFont val="Tahoma"/>
            <family val="2"/>
          </rPr>
          <t xml:space="preserve">Author:
</t>
        </r>
        <r>
          <rPr>
            <sz val="9"/>
            <rFont val="Tahoma"/>
            <family val="2"/>
          </rPr>
          <t>Source: Calculated WACC using 6% Interest Rate on Term Debt</t>
        </r>
      </text>
    </comment>
  </commentList>
</comments>
</file>

<file path=xl/comments4.xml><?xml version="1.0" encoding="utf-8"?>
<comments xmlns="http://schemas.openxmlformats.org/spreadsheetml/2006/main">
  <authors>
    <author>Author</author>
  </authors>
  <commentList>
    <comment ref="B197" authorId="0">
      <text>
        <r>
          <rPr>
            <sz val="14"/>
            <rFont val="Tahoma"/>
            <family val="2"/>
          </rPr>
          <t>If decommissioning paid for through operations (e.g. a decommissioning reserve account) then the "Ending Balance" in the project's final operating year should equal the total decommission reserve requirement specified on the inputs tab; if decommissioning is paid for from the salvage value of the equipment, then the "Ending Balance" in the project's final operating year should be zero.</t>
        </r>
      </text>
    </comment>
    <comment ref="E60" authorId="0">
      <text>
        <r>
          <rPr>
            <b/>
            <sz val="14"/>
            <rFont val="Tahoma"/>
            <family val="2"/>
          </rPr>
          <t xml:space="preserve">NOTE:
</t>
        </r>
        <r>
          <rPr>
            <sz val="14"/>
            <rFont val="Tahoma"/>
            <family val="2"/>
          </rPr>
          <t>If operating loss carry-forward is NOT applied, the values in the "Taxable Income" lines should be the same.</t>
        </r>
        <r>
          <rPr>
            <sz val="8"/>
            <rFont val="Tahoma"/>
            <family val="2"/>
          </rPr>
          <t xml:space="preserve">
</t>
        </r>
      </text>
    </comment>
    <comment ref="G173" authorId="0">
      <text>
        <r>
          <rPr>
            <b/>
            <sz val="12"/>
            <rFont val="Tahoma"/>
            <family val="2"/>
          </rPr>
          <t>Note:</t>
        </r>
        <r>
          <rPr>
            <sz val="12"/>
            <rFont val="Tahoma"/>
            <family val="2"/>
          </rPr>
          <t xml:space="preserve">
ITC earned in first quarter of operation assumed eligible to offset tax on state income taxes saved in first operating year, when applicable. Remainder of ITC carried forward.
</t>
        </r>
      </text>
    </comment>
    <comment ref="C98" authorId="0">
      <text>
        <r>
          <rPr>
            <b/>
            <sz val="14"/>
            <rFont val="Tahoma"/>
            <family val="2"/>
          </rPr>
          <t>Note:</t>
        </r>
        <r>
          <rPr>
            <sz val="14"/>
            <rFont val="Tahoma"/>
            <family val="2"/>
          </rPr>
          <t xml:space="preserve">
Adjustments include (if applicable): reduction of cost basis by 50% of ITC (or ITC Cash Grant), reduction of cost basis for other non-taxable grants, and allocation of Bonus Depreciation. </t>
        </r>
      </text>
    </comment>
    <comment ref="E98" authorId="0">
      <text>
        <r>
          <rPr>
            <b/>
            <sz val="14"/>
            <rFont val="Tahoma"/>
            <family val="2"/>
          </rPr>
          <t xml:space="preserve">Note:
</t>
        </r>
        <r>
          <rPr>
            <sz val="14"/>
            <rFont val="Tahoma"/>
            <family val="2"/>
          </rPr>
          <t xml:space="preserve">Adjustments include (if applicable): reduction of cost basis by 50% of ITC (or ITC Cash Grant), reduction of cost basis for other non-taxable grants, and allocation of Bonus Depreciation. </t>
        </r>
      </text>
    </comment>
  </commentList>
</comments>
</file>

<file path=xl/sharedStrings.xml><?xml version="1.0" encoding="utf-8"?>
<sst xmlns="http://schemas.openxmlformats.org/spreadsheetml/2006/main" count="673" uniqueCount="376">
  <si>
    <t>$</t>
  </si>
  <si>
    <t>%</t>
  </si>
  <si>
    <t>kWh</t>
  </si>
  <si>
    <t>Production</t>
  </si>
  <si>
    <t>years</t>
  </si>
  <si>
    <t>Construction Period</t>
  </si>
  <si>
    <t>Federal Income Tax Rate</t>
  </si>
  <si>
    <t>State Income Tax Rate</t>
  </si>
  <si>
    <t>?</t>
  </si>
  <si>
    <t>Select Cost Level of Detail</t>
  </si>
  <si>
    <t>Operations &amp; Maintenance</t>
  </si>
  <si>
    <t>$/yr</t>
  </si>
  <si>
    <t>Yes</t>
  </si>
  <si>
    <t>Photovoltaic</t>
  </si>
  <si>
    <t>Technology Options</t>
  </si>
  <si>
    <t>Selected Technology</t>
  </si>
  <si>
    <t>Project Size and Performance</t>
  </si>
  <si>
    <t>Is owner a taxable entity?</t>
  </si>
  <si>
    <t>ITC utilization factor, if applicable</t>
  </si>
  <si>
    <t>Notes</t>
  </si>
  <si>
    <t>Check</t>
  </si>
  <si>
    <t>5-year MACRS</t>
  </si>
  <si>
    <t>15-year MACRS</t>
  </si>
  <si>
    <t>15-year SL</t>
  </si>
  <si>
    <t>20-year SL</t>
  </si>
  <si>
    <t>Non-Depreciable</t>
  </si>
  <si>
    <t>Federal Incentives</t>
  </si>
  <si>
    <t>Utilization Factor, if applicable</t>
  </si>
  <si>
    <t>year</t>
  </si>
  <si>
    <t>Generator Nameplate Capacity</t>
  </si>
  <si>
    <t>$/Watt</t>
  </si>
  <si>
    <t>Effective Income Tax Rate</t>
  </si>
  <si>
    <t>State ITC realization period</t>
  </si>
  <si>
    <t>yrs</t>
  </si>
  <si>
    <t>PBI Duration</t>
  </si>
  <si>
    <t>Permanent Financing</t>
  </si>
  <si>
    <t>Interest Rate (Annual)</t>
  </si>
  <si>
    <t>months</t>
  </si>
  <si>
    <t>Interest During Construction</t>
  </si>
  <si>
    <t>Initial Funding of Reserve Accounts</t>
  </si>
  <si>
    <t>Debt Service Reserve</t>
  </si>
  <si>
    <t># of months of O&amp;M Expense</t>
  </si>
  <si>
    <t>Initial O&amp;M and WC Reserve</t>
  </si>
  <si>
    <t>Initial Debt Service Reserve</t>
  </si>
  <si>
    <t># of months of Debt Service</t>
  </si>
  <si>
    <t>Decommissioning Reserve</t>
  </si>
  <si>
    <t>Reserves Funded from Operations</t>
  </si>
  <si>
    <t>Fund from Operations or Salvage Value?</t>
  </si>
  <si>
    <t>Reserve Requirement</t>
  </si>
  <si>
    <t>Lender's Fee (% of total borrowing)</t>
  </si>
  <si>
    <t>¢/kWh</t>
  </si>
  <si>
    <t>units</t>
  </si>
  <si>
    <t>O&amp;M Reserve/Working Capital</t>
  </si>
  <si>
    <t>1st Equipment Replacement</t>
  </si>
  <si>
    <t xml:space="preserve">2nd Equipment Replacement </t>
  </si>
  <si>
    <t>Insurance, Yr 1 (% of Total Cost)</t>
  </si>
  <si>
    <t>COD</t>
  </si>
  <si>
    <t>Production Degradation Factor</t>
  </si>
  <si>
    <t>Project Expenses</t>
  </si>
  <si>
    <t>Project Administration</t>
  </si>
  <si>
    <t>Insurance</t>
  </si>
  <si>
    <t>Operating Income After Interest Expense</t>
  </si>
  <si>
    <t>Pre-Tax Cash Flow to Equity</t>
  </si>
  <si>
    <t>Project Cash Flows</t>
  </si>
  <si>
    <t>Running IRR (Cash Only)</t>
  </si>
  <si>
    <t>Supporting Calculations</t>
  </si>
  <si>
    <t>5 Year MACRS</t>
  </si>
  <si>
    <t>15 Year MACRS</t>
  </si>
  <si>
    <t>20 Year MACRS</t>
  </si>
  <si>
    <t>20 Year SL</t>
  </si>
  <si>
    <t>39 Year SL</t>
  </si>
  <si>
    <t>Total Project Cost, adj for ITC/Grant if applicable</t>
  </si>
  <si>
    <t xml:space="preserve">Total  </t>
  </si>
  <si>
    <t xml:space="preserve">Debt Service:            </t>
  </si>
  <si>
    <t>Size of Debt</t>
  </si>
  <si>
    <t>Debt Sizing (Defined Capital Structure Method)</t>
  </si>
  <si>
    <t>Installed Cost (excluding cost of financing)</t>
  </si>
  <si>
    <t>Defined Debt-to-Total-Capital</t>
  </si>
  <si>
    <t>Beginning Balance</t>
  </si>
  <si>
    <t>Drawdowns</t>
  </si>
  <si>
    <t>Ending Balance</t>
  </si>
  <si>
    <t>Interest</t>
  </si>
  <si>
    <t>Principal</t>
  </si>
  <si>
    <t>Structured Debt Service Payment</t>
  </si>
  <si>
    <t>Depreciation Allocation</t>
  </si>
  <si>
    <t>Reserves &amp; Financing Costs</t>
  </si>
  <si>
    <t>Variable O&amp;M Expense, Yr 1</t>
  </si>
  <si>
    <t xml:space="preserve">¢/kWh </t>
  </si>
  <si>
    <t>see table ==&gt;</t>
  </si>
  <si>
    <t>Tariff Rate &amp; Cash Incentives</t>
  </si>
  <si>
    <t>Tariff Rate Escalator, if applicable</t>
  </si>
  <si>
    <t>Revenue from Tariff</t>
  </si>
  <si>
    <t>Federal Cash Incentive Rate</t>
  </si>
  <si>
    <t xml:space="preserve">Federal Cash Incentive  </t>
  </si>
  <si>
    <t>State Cash Incentive Rate</t>
  </si>
  <si>
    <t xml:space="preserve">State Cash Incentive  </t>
  </si>
  <si>
    <t>Operating Expense Inflation Factor</t>
  </si>
  <si>
    <t>Fixed O&amp;M Expense</t>
  </si>
  <si>
    <t>Variable O&amp;M Expense</t>
  </si>
  <si>
    <t>Property Tax or Payment in Lieu of Taxes (PILOT)</t>
  </si>
  <si>
    <t>Royalties</t>
  </si>
  <si>
    <t>Royalties (% of revenue)</t>
  </si>
  <si>
    <t>Project Revenue, All Sources</t>
  </si>
  <si>
    <t xml:space="preserve">Total Operating Expenses </t>
  </si>
  <si>
    <t>EBITDA (Operating Income)</t>
  </si>
  <si>
    <t>Principal Repayments</t>
  </si>
  <si>
    <t>Loan Amortization</t>
  </si>
  <si>
    <t xml:space="preserve">Loan Repayment </t>
  </si>
  <si>
    <t>Repayment of Loan Principal</t>
  </si>
  <si>
    <t>Loan Interest Expense</t>
  </si>
  <si>
    <t>Net Pre-Tax Cash Flow to Equity</t>
  </si>
  <si>
    <t>Project/Contract Year</t>
  </si>
  <si>
    <t>Depreciation Schedules, Half-Year Convention</t>
  </si>
  <si>
    <t>7 Year MACRS</t>
  </si>
  <si>
    <t>5 Year SL</t>
  </si>
  <si>
    <t>15 Year SL</t>
  </si>
  <si>
    <t>7-year MACRS</t>
  </si>
  <si>
    <t>20-year MACRS</t>
  </si>
  <si>
    <t>5-year SL</t>
  </si>
  <si>
    <t>39-year SL</t>
  </si>
  <si>
    <t>Allocation</t>
  </si>
  <si>
    <t xml:space="preserve">ITC or Cash Grant  </t>
  </si>
  <si>
    <t>check</t>
  </si>
  <si>
    <t>Total Installed Cost</t>
  </si>
  <si>
    <t>PBI Rate</t>
  </si>
  <si>
    <t>Federal Income Taxes Saved / (Paid), before ITC/PTC</t>
  </si>
  <si>
    <t>Running IRR (After Tax)</t>
  </si>
  <si>
    <t>After-Tax Cash Flow to Equity</t>
  </si>
  <si>
    <t>Cash Benefit of State ITC and/or PTC</t>
  </si>
  <si>
    <t>PBI Escalation Rate</t>
  </si>
  <si>
    <t>Federal PBI Escalator, if applicable</t>
  </si>
  <si>
    <t>State PBI Escalator, if applicable</t>
  </si>
  <si>
    <t>Reserve Accounts:</t>
  </si>
  <si>
    <t>Interest on All Reserves</t>
  </si>
  <si>
    <t>Annual Debt Service Coverage Ratio</t>
  </si>
  <si>
    <t>Depreciation:</t>
  </si>
  <si>
    <t>Annual Depreciation Expense, Initial Installation</t>
  </si>
  <si>
    <t>Annual Depreciation Expense, Repairs &amp; Replacements</t>
  </si>
  <si>
    <t>1st Replacement</t>
  </si>
  <si>
    <t>2nd Replacement</t>
  </si>
  <si>
    <t>Depreciation Timing</t>
  </si>
  <si>
    <t>Depreciation Expense</t>
  </si>
  <si>
    <t>Tax</t>
  </si>
  <si>
    <t>Solar Thermal Electric</t>
  </si>
  <si>
    <t>PBI Utilization Factor, if applicable</t>
  </si>
  <si>
    <t>Capital Costs</t>
  </si>
  <si>
    <t>Generation Equipment</t>
  </si>
  <si>
    <t>Balance of Plant</t>
  </si>
  <si>
    <t>Interconnection</t>
  </si>
  <si>
    <t>Development Costs &amp; Fee</t>
  </si>
  <si>
    <t>Other Closing Costs</t>
  </si>
  <si>
    <t>State Income Taxes Saved / (Paid), before ITC/PTC</t>
  </si>
  <si>
    <t>Yr 1 COE</t>
  </si>
  <si>
    <t>Interest Earned on Reserve Accounts</t>
  </si>
  <si>
    <t>O&amp;M/Working Capital Reserve</t>
  </si>
  <si>
    <t>Interest on Reserves</t>
  </si>
  <si>
    <t>Annual Contributions to/(Liquidations of) Reserves</t>
  </si>
  <si>
    <t>(Contributions to), and Liquidation of, Reserve Accounts</t>
  </si>
  <si>
    <t>Adjustment(s) for Major Equipment Replacement(s)</t>
  </si>
  <si>
    <t>Major Equipment Replacement Reserves</t>
  </si>
  <si>
    <t>Annual Depreciation Benefit</t>
  </si>
  <si>
    <t>Pass/Fail</t>
  </si>
  <si>
    <t>Min DSCR</t>
  </si>
  <si>
    <t>Construction Financing</t>
  </si>
  <si>
    <t>Federal PTC (as generated)</t>
  </si>
  <si>
    <t>State PTC (as generated)</t>
  </si>
  <si>
    <t>Annual Production Degradation</t>
  </si>
  <si>
    <t>% of Year-One Tariff Rate Escalated</t>
  </si>
  <si>
    <t>Project Management Yr 1</t>
  </si>
  <si>
    <t xml:space="preserve">ITC Amount </t>
  </si>
  <si>
    <t>Interest Rate on Term Debt</t>
  </si>
  <si>
    <t>Initial Period ends last day of:</t>
  </si>
  <si>
    <t>O&amp;M Cost Inflation, thereafter</t>
  </si>
  <si>
    <t>O&amp;M Cost Inflation, initial period</t>
  </si>
  <si>
    <t>Fixed O&amp;M Expense, Yr 1</t>
  </si>
  <si>
    <t>Project Useful Life</t>
  </si>
  <si>
    <t>Value of energy, capacity &amp; RECs, Yr 1</t>
  </si>
  <si>
    <t>Market Value Escalation Rate</t>
  </si>
  <si>
    <t>Market Revenue</t>
  </si>
  <si>
    <t>Post-Tariff Market Value of Production</t>
  </si>
  <si>
    <t>Required Minimum Annual DSCR</t>
  </si>
  <si>
    <t>Actual Minimum DSCR, occurs in →</t>
  </si>
  <si>
    <t xml:space="preserve">ITC or Cash Grant Amount </t>
  </si>
  <si>
    <t>Taxable Income / (Operating Loss)</t>
  </si>
  <si>
    <t>Operating Loss Carry-Forward, if applicable:</t>
  </si>
  <si>
    <t>Utilization of Operating Loss Carry-Forward</t>
  </si>
  <si>
    <t>Operating Loss Carry-Forward, Beginning Balance</t>
  </si>
  <si>
    <t>Additional Operating Loss Carried-Forward</t>
  </si>
  <si>
    <t>Operating Loss Carry-Forward, Ending Balance</t>
  </si>
  <si>
    <t>Taxable Income with Operating Loss Carry-Forward</t>
  </si>
  <si>
    <t>Annual Depreciation Expense</t>
  </si>
  <si>
    <t>Federal Tax Credit Benefits, if applicable:</t>
  </si>
  <si>
    <t>Federal ITC (as generated)</t>
  </si>
  <si>
    <t>State ITC (as generated)</t>
  </si>
  <si>
    <t>Applicable Tax Credits, as generated</t>
  </si>
  <si>
    <t>Carry-Forward Scenario:</t>
  </si>
  <si>
    <t>State Tax Credit Benefits, if applicable:</t>
  </si>
  <si>
    <t>Performance, Cost, Operating, Tax &amp; Financing Inputs</t>
  </si>
  <si>
    <t>Federal Grants Treated as Taxable Income?</t>
  </si>
  <si>
    <t>Annual Property Tax Adjustment Factor</t>
  </si>
  <si>
    <t>Property Tax or PILOT, Yr 1</t>
  </si>
  <si>
    <t>% Debt (% of hard costs) (mortgage-style amort.)</t>
  </si>
  <si>
    <t>Senior Debt (funds portion of hard costs)</t>
  </si>
  <si>
    <t>Equity (funds balance of hard costs + all soft costs)</t>
  </si>
  <si>
    <t>Summary of Sources of Funding for Total Installed Cost</t>
  </si>
  <si>
    <t>Actual Average DSCR</t>
  </si>
  <si>
    <t>Required Average DSCR</t>
  </si>
  <si>
    <t>Select Market Value Forecast Methodology</t>
  </si>
  <si>
    <t>1st Replacement Cost  ($ in year replaced)</t>
  </si>
  <si>
    <t>2nd Replacement Cost ($ in year replaced)</t>
  </si>
  <si>
    <t>Avg. DSCR</t>
  </si>
  <si>
    <t>Tariff Rate (Fixed Portion)</t>
  </si>
  <si>
    <t>Tariff Rate (Total)</t>
  </si>
  <si>
    <t>Tariff Rate (Escalating Portion)</t>
  </si>
  <si>
    <t>Equity Investment</t>
  </si>
  <si>
    <t>Cash Benefit of Federal ITC, Cash Grant, or PTC</t>
  </si>
  <si>
    <t>Net Capacity Factor, Yr 1</t>
  </si>
  <si>
    <t>Target After-Tax Equity IRR</t>
  </si>
  <si>
    <t>COE Data Tables</t>
  </si>
  <si>
    <t>NPV</t>
  </si>
  <si>
    <t>(cents/kWh)</t>
  </si>
  <si>
    <t>Range Min</t>
  </si>
  <si>
    <t>Range Max</t>
  </si>
  <si>
    <t>Calculation of COE when tax benefits are "Carried Forward"</t>
  </si>
  <si>
    <t>Production, Yr 1</t>
  </si>
  <si>
    <t>Capital Expenditures During Operations: Inverter Replacement</t>
  </si>
  <si>
    <t>Tax Benefit Carry-Forward, Beginning Balance</t>
  </si>
  <si>
    <t>Additional Tax Benefit Carry-Forward</t>
  </si>
  <si>
    <t>Utilization of Tax Benefit Carry-Forward</t>
  </si>
  <si>
    <t>Tax Benefit Carry-Forward, Ending Balance</t>
  </si>
  <si>
    <r>
      <t xml:space="preserve">Taxable Income </t>
    </r>
    <r>
      <rPr>
        <sz val="12"/>
        <rFont val="Arial"/>
        <family val="2"/>
      </rPr>
      <t>(operating loss used as generated)</t>
    </r>
  </si>
  <si>
    <t>Federal Tax Benefits used as generated or carried forward?</t>
  </si>
  <si>
    <t>State Tax Benefits used as generated or carried forward?</t>
  </si>
  <si>
    <t>Federal Carry-Forward</t>
  </si>
  <si>
    <t>State Carry-Forward</t>
  </si>
  <si>
    <t>Minimum DSSCR Year</t>
  </si>
  <si>
    <t>Units</t>
  </si>
  <si>
    <t>Unit Definitions</t>
  </si>
  <si>
    <t>Pass/Fail – denotes whether the two debt service coverage ratio tests have passed or failed.</t>
  </si>
  <si>
    <t>(kW) kilowatt – a standard measure of electrical capacity, equal to 1000 Watts.</t>
  </si>
  <si>
    <t>(kWh) kilowatt hour – a standard measure of electrical output. A 1 kW generator operating at rated capacity for one hour will produce 1 kWh of electricity.</t>
  </si>
  <si>
    <t>(DC) direct current – the unidirectional flow of electric charge</t>
  </si>
  <si>
    <t>(AC) alternating current – the multidirectional flow of electric charge</t>
  </si>
  <si>
    <t>(¢/kWh) –cents per kilowatt hour</t>
  </si>
  <si>
    <t>(%) – an input with units expressed as a percentage</t>
  </si>
  <si>
    <t>(years or year) – an input applicable to a specified duration or project year</t>
  </si>
  <si>
    <t>($/yr) – inputs measured in dollars and applied annually</t>
  </si>
  <si>
    <t>(months) –designates the number of months to which an input applies</t>
  </si>
  <si>
    <t>Tax Credit</t>
  </si>
  <si>
    <t>Investment Tax Credit (ITC) or Cash Grant?</t>
  </si>
  <si>
    <t>Is PBI Tax-Based (PTC) or Cash-Based (REPI)?</t>
  </si>
  <si>
    <t>Is Performance-Based Incentive Tax Credit or Cash Pmt?</t>
  </si>
  <si>
    <t>Click Here for Complex Input Worksheet</t>
  </si>
  <si>
    <t>($/kW-yr) – an annual expense (or revenue) based on generator capacity</t>
  </si>
  <si>
    <t>($) – All CREST model values are in nominal dollars</t>
  </si>
  <si>
    <t>Weighted Average Cost of Capital (WACC)</t>
  </si>
  <si>
    <t>Click Here for Complex Input Worksheets</t>
  </si>
  <si>
    <t>Operations</t>
  </si>
  <si>
    <t>Year One</t>
  </si>
  <si>
    <t>As Generated</t>
  </si>
  <si>
    <r>
      <t>Total Value of Grants</t>
    </r>
    <r>
      <rPr>
        <sz val="10"/>
        <rFont val="Arial"/>
        <family val="2"/>
      </rPr>
      <t xml:space="preserve"> (excl. pmt in lieu of ITC, if applicable)</t>
    </r>
  </si>
  <si>
    <t>Insurance, Yr 1 ($) (Provided for reference)</t>
  </si>
  <si>
    <t>Royalties, Yr 1 ($) (Provided for reference)</t>
  </si>
  <si>
    <t>Minimum DSCR Check Cell (If "Fail," read note ==&gt;)</t>
  </si>
  <si>
    <t>Average DSCR Check Cell (If "Fail," read note ==&gt;)</t>
  </si>
  <si>
    <t>Input Value</t>
  </si>
  <si>
    <t>Input Values</t>
  </si>
  <si>
    <r>
      <t xml:space="preserve">% Equity (% hard costs) </t>
    </r>
    <r>
      <rPr>
        <sz val="11"/>
        <rFont val="Arial"/>
        <family val="2"/>
      </rPr>
      <t>(soft costs also equity funded)</t>
    </r>
  </si>
  <si>
    <t>Land Lease</t>
  </si>
  <si>
    <t>Bonus Depreciation</t>
  </si>
  <si>
    <t>% of Bonus Depreciation applied in Year 1</t>
  </si>
  <si>
    <t>Project Cost Allocation</t>
  </si>
  <si>
    <t>Before</t>
  </si>
  <si>
    <t xml:space="preserve">After </t>
  </si>
  <si>
    <t>Adjustments</t>
  </si>
  <si>
    <t>Adjusted</t>
  </si>
  <si>
    <t>Unadjusted</t>
  </si>
  <si>
    <t>Project Cost Basis</t>
  </si>
  <si>
    <t xml:space="preserve">% </t>
  </si>
  <si>
    <t>Adjustments for ITC, ITC Grant and non-taxable grants</t>
  </si>
  <si>
    <t>Allocation of Costs</t>
  </si>
  <si>
    <t>operating loss treatment ==&gt;&gt;</t>
  </si>
  <si>
    <t>Taxable Income (Federal)</t>
  </si>
  <si>
    <t>Taxable Income (State)</t>
  </si>
  <si>
    <t>PBI Utilization or Availability Factor, if applicable</t>
  </si>
  <si>
    <t>Pre-Tax (Cash-only) Equity IRR (over defined Useful Life)</t>
  </si>
  <si>
    <t>After Tax Equity IRR (over defined Useful Life)</t>
  </si>
  <si>
    <t>Total State ITC, over realization period</t>
  </si>
  <si>
    <t>Cost-Based Tariff Rate Structure</t>
  </si>
  <si>
    <t>Cost-Based Tariff Escalation Rate</t>
  </si>
  <si>
    <r>
      <t xml:space="preserve">Forecasted Market Value of Production; applies </t>
    </r>
    <r>
      <rPr>
        <b/>
        <u val="single"/>
        <sz val="12"/>
        <rFont val="Arial"/>
        <family val="2"/>
      </rPr>
      <t>after</t>
    </r>
    <r>
      <rPr>
        <b/>
        <sz val="12"/>
        <rFont val="Arial"/>
        <family val="2"/>
      </rPr>
      <t xml:space="preserve"> Incentive Expiration</t>
    </r>
  </si>
  <si>
    <t>State Average</t>
  </si>
  <si>
    <t>IL</t>
  </si>
  <si>
    <r>
      <t xml:space="preserve">Net C.F.: If "Custom" method, then enter Net C.F. </t>
    </r>
    <r>
      <rPr>
        <sz val="12"/>
        <rFont val="Calibri"/>
        <family val="2"/>
      </rPr>
      <t>→</t>
    </r>
  </si>
  <si>
    <t>Total Operating Expenses</t>
  </si>
  <si>
    <t>Debt Term</t>
  </si>
  <si>
    <t>Payment Duration for Cost-Based Tariff</t>
  </si>
  <si>
    <t>Total $ Cap on State Rebates/Grants</t>
  </si>
  <si>
    <t>Total Installed Cost (before rebates/grants, if any)</t>
  </si>
  <si>
    <t>State Rebates/Grants Treated as Taxable Income?</t>
  </si>
  <si>
    <t>Annual $ Cap on Performance-Based Incentive</t>
  </si>
  <si>
    <t>PBI or REC Rate</t>
  </si>
  <si>
    <t>PBI or REC Escalation Rate (pos. or neg.)</t>
  </si>
  <si>
    <t>State Rebates, Tax Credits and/or REC Revenue</t>
  </si>
  <si>
    <t>Select Form of Federal Incentive</t>
  </si>
  <si>
    <t>Select Form of State Incentive</t>
  </si>
  <si>
    <t>Additional State Rebates/Grants</t>
  </si>
  <si>
    <r>
      <t xml:space="preserve">Additional Federal Grants </t>
    </r>
    <r>
      <rPr>
        <b/>
        <sz val="11"/>
        <rFont val="Arial"/>
        <family val="2"/>
      </rPr>
      <t>(Other than Section 1603)</t>
    </r>
  </si>
  <si>
    <t>PBI or REC Payment Duration</t>
  </si>
  <si>
    <t>Cash</t>
  </si>
  <si>
    <t>If cash, is state PBI or REC taxable?</t>
  </si>
  <si>
    <t>Intermediate</t>
  </si>
  <si>
    <t>Cost-Based</t>
  </si>
  <si>
    <t>ITC</t>
  </si>
  <si>
    <t xml:space="preserve"> </t>
  </si>
  <si>
    <t>No</t>
  </si>
  <si>
    <t>Unit</t>
  </si>
  <si>
    <t>Item Description</t>
  </si>
  <si>
    <t>Neither</t>
  </si>
  <si>
    <t>Assumptions</t>
  </si>
  <si>
    <t>Inflation Rate (%)</t>
  </si>
  <si>
    <t>Energy Charge ($/kWh)</t>
  </si>
  <si>
    <t>ComEd</t>
  </si>
  <si>
    <t>Discount Rate</t>
  </si>
  <si>
    <t>Inflation Rate</t>
  </si>
  <si>
    <t>DY Year Ending</t>
  </si>
  <si>
    <t>Total Charge ($/kWh)</t>
  </si>
  <si>
    <t>kW dc</t>
  </si>
  <si>
    <t>kW ac</t>
  </si>
  <si>
    <t>AC to DC Conversion Factor</t>
  </si>
  <si>
    <t>Acre/MW dc</t>
  </si>
  <si>
    <t>NREL Q1 2017 Benchmarking Study</t>
  </si>
  <si>
    <r>
      <t xml:space="preserve">Average Locational Marginal Prices (2012-2016)
</t>
    </r>
    <r>
      <rPr>
        <b/>
        <sz val="11"/>
        <color indexed="8"/>
        <rFont val="Calibri"/>
        <family val="2"/>
      </rPr>
      <t>$/kWh</t>
    </r>
  </si>
  <si>
    <t>Annual Reduction in Installed Costs (%)</t>
  </si>
  <si>
    <t>NREL Study Year</t>
  </si>
  <si>
    <t>Adjustment to year:</t>
  </si>
  <si>
    <t>Revenue Shortfall ($)</t>
  </si>
  <si>
    <t>15-yr REC production (MWh)</t>
  </si>
  <si>
    <t>ComEd C&amp;I</t>
  </si>
  <si>
    <t>ComEd C&amp;I Tariff</t>
  </si>
  <si>
    <t>Annual Expected Net Metering Revenue ($)</t>
  </si>
  <si>
    <t>25-yr Present Value Cost of Energy ($)</t>
  </si>
  <si>
    <t>25-yr Present Value Net Metering Credit ($)</t>
  </si>
  <si>
    <t>REC Prices by Pricing Bin</t>
  </si>
  <si>
    <t>ComEd ($/REC)</t>
  </si>
  <si>
    <r>
      <t>Outputs</t>
    </r>
    <r>
      <rPr>
        <b/>
        <sz val="9"/>
        <color indexed="8"/>
        <rFont val="Calibri"/>
        <family val="2"/>
      </rPr>
      <t xml:space="preserve"> (based on 2,000 kW-ac system)</t>
    </r>
  </si>
  <si>
    <t>Base REC Price ($/REC)</t>
  </si>
  <si>
    <t>Source: SEIA comment on Draft LTRRPP, page 10</t>
  </si>
  <si>
    <t>Net Capacity Factor</t>
  </si>
  <si>
    <t>State</t>
  </si>
  <si>
    <t xml:space="preserve">Capacity Factor </t>
  </si>
  <si>
    <t>$/acre/year</t>
  </si>
  <si>
    <t>Subscriber Savings</t>
  </si>
  <si>
    <t>% of Net Metering Value Allocated</t>
  </si>
  <si>
    <t>Property Taxes</t>
  </si>
  <si>
    <t>$/MWac-yr</t>
  </si>
  <si>
    <t>$/kWac-yr</t>
  </si>
  <si>
    <t>≥ 75% Small Subscriber Participation</t>
  </si>
  <si>
    <t>Small Subscriber Adders</t>
  </si>
  <si>
    <t>% Small Subscriber Participation</t>
  </si>
  <si>
    <t xml:space="preserve">ComEd Adder </t>
  </si>
  <si>
    <t>≥ 75%</t>
  </si>
  <si>
    <t>Ameren Illinois ($/REC)</t>
  </si>
  <si>
    <t>Ameren Illinois</t>
  </si>
  <si>
    <t>Ameren Illinois C&amp;I</t>
  </si>
  <si>
    <t xml:space="preserve">Ameren Illinois C&amp;I Tariff </t>
  </si>
  <si>
    <t>Less than 25% Small Subscriber Participation</t>
  </si>
  <si>
    <t>≥ 25 - 50% Small Subscriber Participation</t>
  </si>
  <si>
    <t>≥ 50 - 75% Small Subscriber Participation</t>
  </si>
  <si>
    <t>Less than 25%</t>
  </si>
  <si>
    <t>≥ 25 - 50%</t>
  </si>
  <si>
    <t>≥ 50 - 75%</t>
  </si>
  <si>
    <t>Ameren Illinois Adder</t>
  </si>
  <si>
    <t>% dc</t>
  </si>
  <si>
    <t>Project Size (kW AC)</t>
  </si>
  <si>
    <t>Co-located systems exceeding 2 MW in aggregate size</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</si>
</sst>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Project&quot;\ #"/>
    <numFmt numFmtId="166" formatCode="0\ &quot;kW&quot;"/>
    <numFmt numFmtId="167" formatCode="#\ &quot;Years&quot;"/>
    <numFmt numFmtId="168" formatCode="&quot;$&quot;#,##0"/>
    <numFmt numFmtId="169" formatCode="&quot;$&quot;#.##&quot;/ Watt&quot;"/>
    <numFmt numFmtId="170" formatCode="&quot;$&quot;#,##0.00"/>
    <numFmt numFmtId="171" formatCode="0.0000"/>
    <numFmt numFmtId="172" formatCode="0.000"/>
    <numFmt numFmtId="173" formatCode="_(* #,##0_);_(* \(#,##0\);_(* &quot;-&quot;??_);_(@_)"/>
    <numFmt numFmtId="174" formatCode="0.000000"/>
    <numFmt numFmtId="175" formatCode="&quot;Year&quot;\ #"/>
    <numFmt numFmtId="176" formatCode="&quot;$&quot;#,##0.000"/>
    <numFmt numFmtId="177" formatCode="0.0"/>
    <numFmt numFmtId="178" formatCode="&quot;Net Present Value @&quot;\ ##.00%\ &quot;(over defined Useful Life)&quot;"/>
    <numFmt numFmtId="179" formatCode="_(&quot;$&quot;* #,##0.000_);_(&quot;$&quot;* \(#,##0.000\);_(&quot;$&quot;* &quot;-&quot;??_);_(@_)"/>
    <numFmt numFmtId="180" formatCode="_(&quot;$&quot;* #,##0.0_);_(&quot;$&quot;* \(#,##0.0\);_(&quot;$&quot;* &quot;-&quot;??_);_(@_)"/>
    <numFmt numFmtId="181" formatCode="_(&quot;$&quot;* #,##0_);_(&quot;$&quot;* \(#,##0\);_(&quot;$&quot;* &quot;-&quot;??_);_(@_)"/>
  </numFmts>
  <fonts count="135">
    <font>
      <sz val="11"/>
      <color theme="1"/>
      <name val="Calibri"/>
      <family val="2"/>
    </font>
    <font>
      <sz val="11"/>
      <color indexed="8"/>
      <name val="Calibri"/>
      <family val="2"/>
    </font>
    <font>
      <b/>
      <sz val="12"/>
      <name val="Arial"/>
      <family val="2"/>
    </font>
    <font>
      <i/>
      <sz val="12"/>
      <name val="Arial"/>
      <family val="2"/>
    </font>
    <font>
      <b/>
      <sz val="12"/>
      <color indexed="62"/>
      <name val="Arial"/>
      <family val="2"/>
    </font>
    <font>
      <sz val="12"/>
      <name val="Arial"/>
      <family val="2"/>
    </font>
    <font>
      <b/>
      <sz val="14"/>
      <name val="Arial"/>
      <family val="2"/>
    </font>
    <font>
      <b/>
      <i/>
      <sz val="10"/>
      <name val="Arial"/>
      <family val="2"/>
    </font>
    <font>
      <i/>
      <sz val="11"/>
      <name val="Arial"/>
      <family val="2"/>
    </font>
    <font>
      <b/>
      <sz val="12"/>
      <color indexed="56"/>
      <name val="Arial"/>
      <family val="2"/>
    </font>
    <font>
      <b/>
      <sz val="8"/>
      <name val="Tahoma"/>
      <family val="2"/>
    </font>
    <font>
      <sz val="8"/>
      <name val="Tahoma"/>
      <family val="2"/>
    </font>
    <font>
      <b/>
      <sz val="14"/>
      <name val="Tahoma"/>
      <family val="2"/>
    </font>
    <font>
      <sz val="14"/>
      <name val="Tahoma"/>
      <family val="2"/>
    </font>
    <font>
      <sz val="10"/>
      <name val="Arial"/>
      <family val="2"/>
    </font>
    <font>
      <b/>
      <i/>
      <sz val="12"/>
      <name val="Arial"/>
      <family val="2"/>
    </font>
    <font>
      <u val="single"/>
      <sz val="12"/>
      <name val="Arial"/>
      <family val="2"/>
    </font>
    <font>
      <b/>
      <sz val="12"/>
      <name val="Tahoma"/>
      <family val="2"/>
    </font>
    <font>
      <u val="single"/>
      <sz val="14"/>
      <name val="Tahoma"/>
      <family val="2"/>
    </font>
    <font>
      <b/>
      <sz val="12"/>
      <color indexed="12"/>
      <name val="Arial"/>
      <family val="2"/>
    </font>
    <font>
      <sz val="12"/>
      <color indexed="8"/>
      <name val="Arial"/>
      <family val="2"/>
    </font>
    <font>
      <i/>
      <u val="single"/>
      <sz val="12"/>
      <name val="Arial"/>
      <family val="2"/>
    </font>
    <font>
      <b/>
      <u val="single"/>
      <sz val="12"/>
      <name val="Arial"/>
      <family val="2"/>
    </font>
    <font>
      <b/>
      <sz val="11"/>
      <name val="Arial"/>
      <family val="2"/>
    </font>
    <font>
      <sz val="11"/>
      <name val="Arial"/>
      <family val="2"/>
    </font>
    <font>
      <b/>
      <i/>
      <u val="single"/>
      <sz val="12"/>
      <name val="Arial"/>
      <family val="2"/>
    </font>
    <font>
      <sz val="14"/>
      <name val="Arial"/>
      <family val="2"/>
    </font>
    <font>
      <b/>
      <sz val="8"/>
      <name val="Arial"/>
      <family val="2"/>
    </font>
    <font>
      <sz val="12"/>
      <name val="Tahoma"/>
      <family val="2"/>
    </font>
    <font>
      <b/>
      <i/>
      <sz val="14"/>
      <name val="Tahoma"/>
      <family val="2"/>
    </font>
    <font>
      <b/>
      <u val="single"/>
      <sz val="14"/>
      <name val="Tahoma"/>
      <family val="2"/>
    </font>
    <font>
      <b/>
      <sz val="11"/>
      <color indexed="8"/>
      <name val="Calibri"/>
      <family val="2"/>
    </font>
    <font>
      <sz val="12"/>
      <name val="Calibri"/>
      <family val="2"/>
    </font>
    <font>
      <b/>
      <sz val="16"/>
      <name val="Tahoma"/>
      <family val="2"/>
    </font>
    <font>
      <sz val="9"/>
      <name val="Tahoma"/>
      <family val="2"/>
    </font>
    <font>
      <b/>
      <sz val="9"/>
      <name val="Tahoma"/>
      <family val="2"/>
    </font>
    <font>
      <b/>
      <sz val="9"/>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8.8"/>
      <color indexed="12"/>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Cambria"/>
      <family val="2"/>
    </font>
    <font>
      <b/>
      <sz val="11"/>
      <color indexed="63"/>
      <name val="Calibri"/>
      <family val="2"/>
    </font>
    <font>
      <b/>
      <sz val="18"/>
      <color indexed="56"/>
      <name val="Cambria"/>
      <family val="2"/>
    </font>
    <font>
      <sz val="11"/>
      <color indexed="10"/>
      <name val="Calibri"/>
      <family val="2"/>
    </font>
    <font>
      <b/>
      <sz val="12"/>
      <color indexed="10"/>
      <name val="Arial"/>
      <family val="2"/>
    </font>
    <font>
      <sz val="12"/>
      <color indexed="60"/>
      <name val="Arial"/>
      <family val="2"/>
    </font>
    <font>
      <sz val="11"/>
      <color indexed="8"/>
      <name val="Arial"/>
      <family val="2"/>
    </font>
    <font>
      <b/>
      <sz val="11"/>
      <color indexed="62"/>
      <name val="Arial"/>
      <family val="2"/>
    </font>
    <font>
      <sz val="12"/>
      <color indexed="10"/>
      <name val="Arial"/>
      <family val="2"/>
    </font>
    <font>
      <i/>
      <sz val="12"/>
      <color indexed="23"/>
      <name val="Arial"/>
      <family val="2"/>
    </font>
    <font>
      <b/>
      <sz val="12"/>
      <color indexed="9"/>
      <name val="Arial"/>
      <family val="2"/>
    </font>
    <font>
      <b/>
      <sz val="12"/>
      <color indexed="8"/>
      <name val="Arial"/>
      <family val="2"/>
    </font>
    <font>
      <b/>
      <i/>
      <sz val="12"/>
      <color indexed="55"/>
      <name val="Arial"/>
      <family val="2"/>
    </font>
    <font>
      <i/>
      <sz val="10"/>
      <color indexed="23"/>
      <name val="Arial"/>
      <family val="2"/>
    </font>
    <font>
      <i/>
      <sz val="12"/>
      <color indexed="22"/>
      <name val="Arial"/>
      <family val="2"/>
    </font>
    <font>
      <b/>
      <sz val="12"/>
      <color indexed="22"/>
      <name val="Arial"/>
      <family val="2"/>
    </font>
    <font>
      <sz val="12"/>
      <color indexed="9"/>
      <name val="Arial"/>
      <family val="2"/>
    </font>
    <font>
      <i/>
      <sz val="12"/>
      <color indexed="8"/>
      <name val="Arial"/>
      <family val="2"/>
    </font>
    <font>
      <sz val="12"/>
      <color indexed="55"/>
      <name val="Arial"/>
      <family val="2"/>
    </font>
    <font>
      <b/>
      <u val="single"/>
      <sz val="12"/>
      <color indexed="55"/>
      <name val="Arial"/>
      <family val="2"/>
    </font>
    <font>
      <b/>
      <sz val="12"/>
      <color indexed="55"/>
      <name val="Arial"/>
      <family val="2"/>
    </font>
    <font>
      <sz val="12"/>
      <color indexed="22"/>
      <name val="Arial"/>
      <family val="2"/>
    </font>
    <font>
      <b/>
      <u val="single"/>
      <sz val="12"/>
      <color indexed="22"/>
      <name val="Arial"/>
      <family val="2"/>
    </font>
    <font>
      <u val="single"/>
      <sz val="12"/>
      <color indexed="12"/>
      <name val="Arial"/>
      <family val="2"/>
    </font>
    <font>
      <b/>
      <u val="single"/>
      <sz val="12"/>
      <color indexed="12"/>
      <name val="Arial"/>
      <family val="2"/>
    </font>
    <font>
      <b/>
      <i/>
      <u val="single"/>
      <sz val="12"/>
      <color indexed="8"/>
      <name val="Arial"/>
      <family val="2"/>
    </font>
    <font>
      <sz val="11"/>
      <name val="Calibri"/>
      <family val="2"/>
    </font>
    <font>
      <b/>
      <sz val="12"/>
      <color indexed="8"/>
      <name val="Calibri"/>
      <family val="2"/>
    </font>
    <font>
      <b/>
      <sz val="14"/>
      <color indexed="8"/>
      <name val="Calibri"/>
      <family val="2"/>
    </font>
    <font>
      <b/>
      <sz val="12"/>
      <name val="Calibri"/>
      <family val="2"/>
    </font>
    <font>
      <b/>
      <sz val="14"/>
      <name val="Calibri"/>
      <family val="2"/>
    </font>
    <font>
      <b/>
      <sz val="16"/>
      <color indexed="8"/>
      <name val="Calibri"/>
      <family val="2"/>
    </font>
    <font>
      <b/>
      <u val="single"/>
      <sz val="11"/>
      <color indexed="8"/>
      <name val="Calibri"/>
      <family val="2"/>
    </font>
    <font>
      <b/>
      <u val="single"/>
      <sz val="12"/>
      <color indexed="9"/>
      <name val="Arial"/>
      <family val="2"/>
    </font>
    <font>
      <b/>
      <sz val="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8.8"/>
      <color theme="10"/>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sz val="10"/>
      <color theme="1"/>
      <name val="Cambria"/>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rgb="FFFF0000"/>
      <name val="Arial"/>
      <family val="2"/>
    </font>
    <font>
      <b/>
      <sz val="12"/>
      <color theme="4"/>
      <name val="Arial"/>
      <family val="2"/>
    </font>
    <font>
      <b/>
      <sz val="12"/>
      <color theme="3"/>
      <name val="Arial"/>
      <family val="2"/>
    </font>
    <font>
      <sz val="12"/>
      <color rgb="FFC00000"/>
      <name val="Arial"/>
      <family val="2"/>
    </font>
    <font>
      <sz val="11"/>
      <color theme="1"/>
      <name val="Arial"/>
      <family val="2"/>
    </font>
    <font>
      <b/>
      <sz val="11"/>
      <color theme="4"/>
      <name val="Arial"/>
      <family val="2"/>
    </font>
    <font>
      <sz val="12"/>
      <color rgb="FFFF0000"/>
      <name val="Arial"/>
      <family val="2"/>
    </font>
    <font>
      <i/>
      <sz val="12"/>
      <color theme="0" tint="-0.4999699890613556"/>
      <name val="Arial"/>
      <family val="2"/>
    </font>
    <font>
      <b/>
      <sz val="12"/>
      <color theme="0"/>
      <name val="Arial"/>
      <family val="2"/>
    </font>
    <font>
      <b/>
      <sz val="12"/>
      <color theme="1"/>
      <name val="Arial"/>
      <family val="2"/>
    </font>
    <font>
      <b/>
      <i/>
      <sz val="12"/>
      <color theme="0" tint="-0.24997000396251678"/>
      <name val="Arial"/>
      <family val="2"/>
    </font>
    <font>
      <i/>
      <sz val="10"/>
      <color theme="0" tint="-0.4999699890613556"/>
      <name val="Arial"/>
      <family val="2"/>
    </font>
    <font>
      <i/>
      <sz val="12"/>
      <color theme="0" tint="-0.1499900072813034"/>
      <name val="Arial"/>
      <family val="2"/>
    </font>
    <font>
      <b/>
      <sz val="12"/>
      <color theme="0" tint="-0.1499900072813034"/>
      <name val="Arial"/>
      <family val="2"/>
    </font>
    <font>
      <sz val="12"/>
      <color theme="0"/>
      <name val="Arial"/>
      <family val="2"/>
    </font>
    <font>
      <i/>
      <sz val="12"/>
      <color theme="1"/>
      <name val="Arial"/>
      <family val="2"/>
    </font>
    <font>
      <sz val="12"/>
      <color theme="0" tint="-0.24997000396251678"/>
      <name val="Arial"/>
      <family val="2"/>
    </font>
    <font>
      <b/>
      <u val="single"/>
      <sz val="12"/>
      <color theme="0" tint="-0.24997000396251678"/>
      <name val="Arial"/>
      <family val="2"/>
    </font>
    <font>
      <b/>
      <sz val="12"/>
      <color theme="0" tint="-0.24997000396251678"/>
      <name val="Arial"/>
      <family val="2"/>
    </font>
    <font>
      <sz val="12"/>
      <color theme="0" tint="-0.1499900072813034"/>
      <name val="Arial"/>
      <family val="2"/>
    </font>
    <font>
      <b/>
      <u val="single"/>
      <sz val="12"/>
      <color theme="0" tint="-0.1499900072813034"/>
      <name val="Arial"/>
      <family val="2"/>
    </font>
    <font>
      <u val="single"/>
      <sz val="12"/>
      <color theme="10"/>
      <name val="Arial"/>
      <family val="2"/>
    </font>
    <font>
      <b/>
      <u val="single"/>
      <sz val="12"/>
      <color theme="10"/>
      <name val="Arial"/>
      <family val="2"/>
    </font>
    <font>
      <b/>
      <i/>
      <u val="single"/>
      <sz val="12"/>
      <color theme="1"/>
      <name val="Arial"/>
      <family val="2"/>
    </font>
    <font>
      <b/>
      <sz val="12"/>
      <color theme="1"/>
      <name val="Calibri"/>
      <family val="2"/>
    </font>
    <font>
      <b/>
      <sz val="14"/>
      <color theme="1"/>
      <name val="Calibri"/>
      <family val="2"/>
    </font>
    <font>
      <b/>
      <sz val="16"/>
      <color theme="1"/>
      <name val="Calibri"/>
      <family val="2"/>
    </font>
    <font>
      <b/>
      <u val="single"/>
      <sz val="11"/>
      <color theme="1"/>
      <name val="Calibri"/>
      <family val="2"/>
    </font>
    <font>
      <b/>
      <u val="single"/>
      <sz val="12"/>
      <color theme="0"/>
      <name val="Arial"/>
      <family val="2"/>
    </font>
    <font>
      <b/>
      <sz val="8"/>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9"/>
        <bgColor indexed="64"/>
      </patternFill>
    </fill>
    <fill>
      <patternFill patternType="solid">
        <fgColor indexed="22"/>
        <bgColor indexed="64"/>
      </patternFill>
    </fill>
    <fill>
      <patternFill patternType="solid">
        <fgColor rgb="FFFFFF99"/>
        <bgColor indexed="64"/>
      </patternFill>
    </fill>
    <fill>
      <patternFill patternType="solid">
        <fgColor theme="0" tint="-0.04997999966144562"/>
        <bgColor indexed="64"/>
      </patternFill>
    </fill>
    <fill>
      <patternFill patternType="solid">
        <fgColor rgb="FFFF0000"/>
        <bgColor indexed="64"/>
      </patternFill>
    </fill>
    <fill>
      <patternFill patternType="solid">
        <fgColor theme="0" tint="-0.24997000396251678"/>
        <bgColor indexed="64"/>
      </patternFill>
    </fill>
    <fill>
      <patternFill patternType="solid">
        <fgColor rgb="FF00B050"/>
        <bgColor indexed="64"/>
      </patternFill>
    </fill>
    <fill>
      <patternFill patternType="solid">
        <fgColor theme="3" tint="0.5999900102615356"/>
        <bgColor indexed="64"/>
      </patternFill>
    </fill>
    <fill>
      <patternFill patternType="solid">
        <fgColor theme="0"/>
        <bgColor indexed="64"/>
      </patternFill>
    </fill>
    <fill>
      <patternFill patternType="solid">
        <fgColor theme="4" tint="0.5999600291252136"/>
        <bgColor indexed="64"/>
      </patternFill>
    </fill>
    <fill>
      <patternFill patternType="solid">
        <fgColor theme="0" tint="-0.4999699890613556"/>
        <bgColor indexed="64"/>
      </patternFill>
    </fill>
  </fills>
  <borders count="7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medium"/>
      <right/>
      <top/>
      <bottom/>
    </border>
    <border>
      <left/>
      <right/>
      <top/>
      <bottom style="thin"/>
    </border>
    <border>
      <left/>
      <right/>
      <top/>
      <bottom style="medium"/>
    </border>
    <border>
      <left/>
      <right style="medium"/>
      <top/>
      <bottom/>
    </border>
    <border>
      <left/>
      <right/>
      <top style="medium"/>
      <bottom/>
    </border>
    <border>
      <left style="thin"/>
      <right style="medium"/>
      <top style="thin"/>
      <bottom style="thin"/>
    </border>
    <border>
      <left style="medium"/>
      <right/>
      <top/>
      <bottom style="medium"/>
    </border>
    <border>
      <left/>
      <right style="medium"/>
      <top style="medium"/>
      <bottom/>
    </border>
    <border>
      <left/>
      <right style="medium"/>
      <top/>
      <bottom style="medium"/>
    </border>
    <border>
      <left style="thin"/>
      <right style="thin"/>
      <top style="thin"/>
      <bottom/>
    </border>
    <border>
      <left style="medium"/>
      <right/>
      <top style="medium"/>
      <bottom/>
    </border>
    <border>
      <left style="medium"/>
      <right style="medium"/>
      <top style="medium"/>
      <bottom/>
    </border>
    <border>
      <left style="medium"/>
      <right style="medium"/>
      <top/>
      <bottom style="medium"/>
    </border>
    <border>
      <left/>
      <right style="thin"/>
      <top/>
      <bottom/>
    </border>
    <border>
      <left style="thin"/>
      <right/>
      <top/>
      <bottom/>
    </border>
    <border>
      <left style="thin"/>
      <right style="thin"/>
      <top style="thin"/>
      <bottom style="medium"/>
    </border>
    <border>
      <left/>
      <right style="thin"/>
      <top style="thin"/>
      <bottom style="thin"/>
    </border>
    <border>
      <left style="thin"/>
      <right style="medium"/>
      <top style="thin"/>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medium"/>
      <right style="thin"/>
      <top style="thin"/>
      <bottom style="thin"/>
    </border>
    <border>
      <left style="medium"/>
      <right style="thin"/>
      <top/>
      <bottom style="thin"/>
    </border>
    <border>
      <left style="medium"/>
      <right style="thin"/>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style="thin"/>
    </border>
    <border>
      <left style="thin"/>
      <right style="medium"/>
      <top/>
      <bottom style="medium"/>
    </border>
    <border>
      <left style="medium"/>
      <right style="thin"/>
      <top/>
      <bottom style="medium"/>
    </border>
    <border>
      <left style="medium"/>
      <right style="thin"/>
      <top style="thin"/>
      <bottom style="double"/>
    </border>
    <border>
      <left style="thin"/>
      <right style="thin"/>
      <top/>
      <bottom style="medium"/>
    </border>
    <border>
      <left style="medium"/>
      <right/>
      <top style="thin"/>
      <bottom style="medium"/>
    </border>
    <border>
      <left/>
      <right style="thin"/>
      <top style="thin"/>
      <bottom style="medium"/>
    </border>
    <border>
      <left style="medium"/>
      <right style="thin"/>
      <top style="medium"/>
      <bottom/>
    </border>
    <border>
      <left style="thin"/>
      <right style="thin"/>
      <top style="medium"/>
      <bottom/>
    </border>
    <border>
      <left style="thin"/>
      <right style="medium"/>
      <top style="medium"/>
      <bottom/>
    </border>
    <border>
      <left style="medium"/>
      <right style="thin"/>
      <top style="thin"/>
      <bottom/>
    </border>
    <border>
      <left style="thin"/>
      <right style="medium"/>
      <top style="thin"/>
      <bottom/>
    </border>
    <border>
      <left/>
      <right/>
      <top style="thin"/>
      <bottom style="medium"/>
    </border>
    <border>
      <left/>
      <right style="medium"/>
      <top style="thin"/>
      <bottom style="mediu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style="thin"/>
      <right/>
      <top style="medium"/>
      <bottom style="medium"/>
    </border>
    <border>
      <left/>
      <right style="thin"/>
      <top style="medium"/>
      <bottom/>
    </border>
    <border>
      <left style="thin"/>
      <right style="thin"/>
      <top style="thin"/>
      <bottom style="double"/>
    </border>
    <border>
      <left/>
      <right/>
      <top style="thin"/>
      <bottom style="thin"/>
    </border>
    <border>
      <left style="thin"/>
      <right/>
      <top style="thin"/>
      <bottom style="thin"/>
    </border>
    <border>
      <left style="thin"/>
      <right/>
      <top style="thin"/>
      <bottom style="medium"/>
    </border>
    <border>
      <left style="thin"/>
      <right/>
      <top style="medium"/>
      <bottom style="thin"/>
    </border>
    <border>
      <left/>
      <right/>
      <top style="thin"/>
      <bottom/>
    </border>
    <border>
      <left/>
      <right style="thin"/>
      <top style="thin"/>
      <bottom/>
    </border>
    <border>
      <left style="thin"/>
      <right style="medium"/>
      <top style="thin"/>
      <bottom style="double"/>
    </border>
    <border>
      <left style="thin"/>
      <right/>
      <top/>
      <bottom style="thin"/>
    </border>
    <border>
      <left/>
      <right style="thin"/>
      <top/>
      <bottom style="thin"/>
    </border>
    <border>
      <left style="thin"/>
      <right/>
      <top style="thin"/>
      <bottom/>
    </border>
    <border>
      <left/>
      <right style="thin"/>
      <top style="medium"/>
      <bottom style="medium"/>
    </border>
    <border>
      <left/>
      <right style="thin"/>
      <top style="medium"/>
      <bottom style="thin"/>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7" fillId="30" borderId="1" applyNumberFormat="0" applyAlignment="0" applyProtection="0"/>
    <xf numFmtId="0" fontId="98" fillId="0" borderId="6" applyNumberFormat="0" applyFill="0" applyAlignment="0" applyProtection="0"/>
    <xf numFmtId="0" fontId="99" fillId="31" borderId="0" applyNumberFormat="0" applyBorder="0" applyAlignment="0" applyProtection="0"/>
    <xf numFmtId="0" fontId="14" fillId="0" borderId="0">
      <alignment/>
      <protection/>
    </xf>
    <xf numFmtId="0" fontId="14" fillId="0" borderId="0">
      <alignment/>
      <protection/>
    </xf>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00" fillId="0" borderId="0">
      <alignment/>
      <protection/>
    </xf>
    <xf numFmtId="0" fontId="0" fillId="32" borderId="7" applyNumberFormat="0" applyFont="0" applyAlignment="0" applyProtection="0"/>
    <xf numFmtId="0" fontId="101" fillId="27" borderId="8" applyNumberFormat="0" applyAlignment="0" applyProtection="0"/>
    <xf numFmtId="9" fontId="0" fillId="0" borderId="0" applyFont="0" applyFill="0" applyBorder="0" applyAlignment="0" applyProtection="0"/>
    <xf numFmtId="9" fontId="14" fillId="0" borderId="0" applyFont="0" applyFill="0" applyBorder="0" applyAlignment="0" applyProtection="0"/>
    <xf numFmtId="9" fontId="100" fillId="0" borderId="0" applyFont="0" applyFill="0" applyBorder="0" applyAlignment="0" applyProtection="0"/>
    <xf numFmtId="0" fontId="102" fillId="0" borderId="0" applyNumberFormat="0" applyFill="0" applyBorder="0" applyAlignment="0" applyProtection="0"/>
    <xf numFmtId="0" fontId="103" fillId="0" borderId="9" applyNumberFormat="0" applyFill="0" applyAlignment="0" applyProtection="0"/>
    <xf numFmtId="0" fontId="104" fillId="0" borderId="0" applyNumberFormat="0" applyFill="0" applyBorder="0" applyAlignment="0" applyProtection="0"/>
  </cellStyleXfs>
  <cellXfs count="655">
    <xf numFmtId="0" fontId="0" fillId="0" borderId="0" xfId="0" applyFont="1" applyAlignment="1">
      <alignment/>
    </xf>
    <xf numFmtId="0" fontId="5" fillId="0" borderId="0" xfId="0" applyFont="1" applyFill="1" applyBorder="1" applyAlignment="1">
      <alignment/>
    </xf>
    <xf numFmtId="0" fontId="2" fillId="33" borderId="10" xfId="0" applyNumberFormat="1" applyFont="1" applyFill="1" applyBorder="1" applyAlignment="1">
      <alignment horizontal="left"/>
    </xf>
    <xf numFmtId="0" fontId="7" fillId="33" borderId="11" xfId="0" applyNumberFormat="1" applyFont="1" applyFill="1" applyBorder="1" applyAlignment="1">
      <alignment horizontal="center"/>
    </xf>
    <xf numFmtId="165" fontId="8" fillId="33" borderId="12" xfId="0" applyNumberFormat="1" applyFont="1" applyFill="1" applyBorder="1" applyAlignment="1">
      <alignment horizontal="center"/>
    </xf>
    <xf numFmtId="0" fontId="2" fillId="33" borderId="10" xfId="0" applyNumberFormat="1" applyFont="1" applyFill="1" applyBorder="1" applyAlignment="1">
      <alignment/>
    </xf>
    <xf numFmtId="0" fontId="3" fillId="34" borderId="13" xfId="0" applyNumberFormat="1" applyFont="1" applyFill="1" applyBorder="1" applyAlignment="1">
      <alignment horizontal="center"/>
    </xf>
    <xf numFmtId="0" fontId="3" fillId="34" borderId="14" xfId="0" applyNumberFormat="1" applyFont="1" applyFill="1" applyBorder="1" applyAlignment="1">
      <alignment horizontal="center"/>
    </xf>
    <xf numFmtId="0" fontId="3" fillId="0" borderId="14" xfId="0" applyFont="1" applyBorder="1" applyAlignment="1">
      <alignment horizontal="center"/>
    </xf>
    <xf numFmtId="3" fontId="2" fillId="33" borderId="10" xfId="0" applyNumberFormat="1" applyFont="1" applyFill="1" applyBorder="1" applyAlignment="1">
      <alignment horizontal="left"/>
    </xf>
    <xf numFmtId="0" fontId="3" fillId="0" borderId="14" xfId="0" applyNumberFormat="1" applyFont="1" applyFill="1" applyBorder="1" applyAlignment="1">
      <alignment horizontal="center"/>
    </xf>
    <xf numFmtId="0" fontId="5" fillId="0" borderId="15" xfId="0" applyFont="1" applyFill="1" applyBorder="1" applyAlignment="1">
      <alignment/>
    </xf>
    <xf numFmtId="0" fontId="5" fillId="0" borderId="0" xfId="0" applyFont="1" applyBorder="1" applyAlignment="1">
      <alignment/>
    </xf>
    <xf numFmtId="0" fontId="105" fillId="0" borderId="14" xfId="0" applyFont="1" applyFill="1" applyBorder="1" applyAlignment="1">
      <alignment horizontal="center"/>
    </xf>
    <xf numFmtId="0" fontId="0" fillId="0" borderId="0" xfId="0" applyBorder="1" applyAlignment="1">
      <alignment/>
    </xf>
    <xf numFmtId="0" fontId="105" fillId="0" borderId="0" xfId="0" applyFont="1" applyFill="1" applyBorder="1" applyAlignment="1">
      <alignment horizontal="center"/>
    </xf>
    <xf numFmtId="0" fontId="6" fillId="0" borderId="0" xfId="0" applyFont="1" applyFill="1" applyBorder="1" applyAlignment="1">
      <alignment horizontal="center"/>
    </xf>
    <xf numFmtId="0" fontId="2" fillId="0" borderId="0" xfId="0" applyFont="1" applyFill="1" applyBorder="1" applyAlignment="1">
      <alignment horizontal="center"/>
    </xf>
    <xf numFmtId="0" fontId="5" fillId="0" borderId="11" xfId="0" applyFont="1" applyBorder="1" applyAlignment="1">
      <alignment/>
    </xf>
    <xf numFmtId="0" fontId="5" fillId="0" borderId="0" xfId="0" applyFont="1" applyFill="1" applyBorder="1" applyAlignment="1">
      <alignment horizontal="center"/>
    </xf>
    <xf numFmtId="0" fontId="5" fillId="34" borderId="0" xfId="0" applyNumberFormat="1" applyFont="1" applyFill="1" applyBorder="1" applyAlignment="1">
      <alignment/>
    </xf>
    <xf numFmtId="0" fontId="3" fillId="0" borderId="14" xfId="0" applyFont="1" applyFill="1" applyBorder="1" applyAlignment="1">
      <alignment horizontal="center"/>
    </xf>
    <xf numFmtId="0" fontId="106" fillId="0" borderId="11" xfId="0" applyFont="1" applyBorder="1" applyAlignment="1">
      <alignment horizontal="center" vertical="center"/>
    </xf>
    <xf numFmtId="0" fontId="6" fillId="0" borderId="11" xfId="0" applyFont="1" applyFill="1" applyBorder="1" applyAlignment="1">
      <alignment horizontal="left"/>
    </xf>
    <xf numFmtId="9" fontId="107" fillId="0" borderId="0" xfId="0" applyNumberFormat="1" applyFont="1" applyFill="1" applyBorder="1" applyAlignment="1">
      <alignment horizontal="center"/>
    </xf>
    <xf numFmtId="0" fontId="0" fillId="0" borderId="0" xfId="0" applyFill="1" applyBorder="1" applyAlignment="1">
      <alignment/>
    </xf>
    <xf numFmtId="0" fontId="5" fillId="33" borderId="11" xfId="0" applyFont="1" applyFill="1" applyBorder="1" applyAlignment="1">
      <alignment/>
    </xf>
    <xf numFmtId="0" fontId="5" fillId="0" borderId="0" xfId="0" applyNumberFormat="1" applyFont="1" applyAlignment="1">
      <alignment/>
    </xf>
    <xf numFmtId="0" fontId="2" fillId="0" borderId="0" xfId="0" applyNumberFormat="1" applyFont="1" applyAlignment="1">
      <alignment horizontal="center"/>
    </xf>
    <xf numFmtId="0" fontId="5" fillId="0" borderId="0" xfId="0" applyNumberFormat="1" applyFont="1" applyFill="1" applyAlignment="1">
      <alignment/>
    </xf>
    <xf numFmtId="0" fontId="5" fillId="0" borderId="0" xfId="0" applyNumberFormat="1" applyFont="1" applyAlignment="1">
      <alignment horizontal="center"/>
    </xf>
    <xf numFmtId="172" fontId="5" fillId="0" borderId="0" xfId="0" applyNumberFormat="1" applyFont="1" applyAlignment="1">
      <alignment/>
    </xf>
    <xf numFmtId="0" fontId="2" fillId="0" borderId="0" xfId="0" applyNumberFormat="1" applyFont="1" applyAlignment="1">
      <alignment/>
    </xf>
    <xf numFmtId="3" fontId="5" fillId="0" borderId="0" xfId="0" applyNumberFormat="1" applyFont="1" applyAlignment="1">
      <alignment/>
    </xf>
    <xf numFmtId="0" fontId="5" fillId="0" borderId="0" xfId="0" applyNumberFormat="1" applyFont="1" applyFill="1" applyBorder="1" applyAlignment="1">
      <alignment/>
    </xf>
    <xf numFmtId="168" fontId="5" fillId="0" borderId="0" xfId="0" applyNumberFormat="1" applyFont="1" applyBorder="1" applyAlignment="1">
      <alignment/>
    </xf>
    <xf numFmtId="0" fontId="5" fillId="0" borderId="0" xfId="0" applyNumberFormat="1" applyFont="1" applyBorder="1" applyAlignment="1">
      <alignment/>
    </xf>
    <xf numFmtId="0" fontId="5" fillId="0" borderId="16" xfId="0" applyNumberFormat="1" applyFont="1" applyFill="1" applyBorder="1" applyAlignment="1">
      <alignment/>
    </xf>
    <xf numFmtId="0" fontId="5" fillId="0" borderId="16" xfId="0" applyNumberFormat="1" applyFont="1" applyBorder="1" applyAlignment="1">
      <alignment/>
    </xf>
    <xf numFmtId="168" fontId="2" fillId="0" borderId="0" xfId="0" applyNumberFormat="1" applyFont="1" applyAlignment="1">
      <alignment/>
    </xf>
    <xf numFmtId="6" fontId="5" fillId="0" borderId="0" xfId="0" applyNumberFormat="1" applyFont="1" applyFill="1" applyBorder="1" applyAlignment="1">
      <alignment/>
    </xf>
    <xf numFmtId="6" fontId="5" fillId="0" borderId="16" xfId="0" applyNumberFormat="1" applyFont="1" applyFill="1" applyBorder="1" applyAlignment="1">
      <alignment/>
    </xf>
    <xf numFmtId="0" fontId="2" fillId="0" borderId="0" xfId="0" applyNumberFormat="1" applyFont="1" applyFill="1" applyBorder="1" applyAlignment="1">
      <alignment/>
    </xf>
    <xf numFmtId="6" fontId="2" fillId="0" borderId="0" xfId="0" applyNumberFormat="1" applyFont="1" applyAlignment="1">
      <alignment/>
    </xf>
    <xf numFmtId="0" fontId="3" fillId="0" borderId="0" xfId="0" applyNumberFormat="1" applyFont="1" applyFill="1" applyBorder="1" applyAlignment="1">
      <alignment/>
    </xf>
    <xf numFmtId="0" fontId="3" fillId="0" borderId="0" xfId="0" applyNumberFormat="1" applyFont="1" applyAlignment="1">
      <alignment/>
    </xf>
    <xf numFmtId="0" fontId="3" fillId="0" borderId="0" xfId="0" applyNumberFormat="1" applyFont="1" applyFill="1" applyAlignment="1">
      <alignment/>
    </xf>
    <xf numFmtId="40" fontId="3" fillId="0" borderId="0" xfId="0" applyNumberFormat="1" applyFont="1" applyFill="1" applyAlignment="1">
      <alignment horizontal="center"/>
    </xf>
    <xf numFmtId="0" fontId="2" fillId="0" borderId="0" xfId="0" applyNumberFormat="1" applyFont="1" applyFill="1" applyAlignment="1">
      <alignment/>
    </xf>
    <xf numFmtId="6" fontId="2" fillId="0" borderId="0" xfId="0" applyNumberFormat="1" applyFont="1" applyFill="1" applyAlignment="1">
      <alignment/>
    </xf>
    <xf numFmtId="0" fontId="2" fillId="0" borderId="0" xfId="0" applyNumberFormat="1" applyFont="1" applyAlignment="1">
      <alignment wrapText="1"/>
    </xf>
    <xf numFmtId="6" fontId="5" fillId="0" borderId="0" xfId="0" applyNumberFormat="1" applyFont="1" applyAlignment="1">
      <alignment/>
    </xf>
    <xf numFmtId="6" fontId="5" fillId="0" borderId="16" xfId="0" applyNumberFormat="1" applyFont="1" applyBorder="1" applyAlignment="1">
      <alignment/>
    </xf>
    <xf numFmtId="0" fontId="15" fillId="0" borderId="0" xfId="0" applyNumberFormat="1" applyFont="1" applyAlignment="1">
      <alignment wrapText="1"/>
    </xf>
    <xf numFmtId="164" fontId="3" fillId="0" borderId="0" xfId="74" applyNumberFormat="1" applyFont="1" applyAlignment="1">
      <alignment/>
    </xf>
    <xf numFmtId="6" fontId="19" fillId="0" borderId="0" xfId="0" applyNumberFormat="1" applyFont="1" applyFill="1" applyAlignment="1">
      <alignment horizontal="center"/>
    </xf>
    <xf numFmtId="0" fontId="2" fillId="0" borderId="17" xfId="0" applyNumberFormat="1" applyFont="1" applyBorder="1" applyAlignment="1">
      <alignment/>
    </xf>
    <xf numFmtId="0" fontId="5" fillId="0" borderId="17" xfId="0" applyNumberFormat="1" applyFont="1" applyBorder="1" applyAlignment="1">
      <alignment/>
    </xf>
    <xf numFmtId="0" fontId="2" fillId="35" borderId="0" xfId="0" applyNumberFormat="1" applyFont="1" applyFill="1" applyBorder="1" applyAlignment="1">
      <alignment/>
    </xf>
    <xf numFmtId="0" fontId="5" fillId="35" borderId="0" xfId="0" applyNumberFormat="1" applyFont="1" applyFill="1" applyBorder="1" applyAlignment="1">
      <alignment/>
    </xf>
    <xf numFmtId="6" fontId="5" fillId="35" borderId="0" xfId="0" applyNumberFormat="1" applyFont="1" applyFill="1" applyBorder="1" applyAlignment="1">
      <alignment/>
    </xf>
    <xf numFmtId="0" fontId="15" fillId="35" borderId="0" xfId="0" applyNumberFormat="1" applyFont="1" applyFill="1" applyBorder="1" applyAlignment="1">
      <alignment horizontal="center"/>
    </xf>
    <xf numFmtId="0" fontId="5" fillId="35" borderId="0" xfId="0" applyNumberFormat="1" applyFont="1" applyFill="1" applyAlignment="1">
      <alignment/>
    </xf>
    <xf numFmtId="0" fontId="0" fillId="0" borderId="0" xfId="0" applyNumberFormat="1" applyAlignment="1">
      <alignment/>
    </xf>
    <xf numFmtId="0" fontId="3" fillId="0" borderId="0" xfId="0" applyNumberFormat="1" applyFont="1" applyFill="1" applyBorder="1" applyAlignment="1">
      <alignment horizontal="center"/>
    </xf>
    <xf numFmtId="165" fontId="8" fillId="0" borderId="0" xfId="0" applyNumberFormat="1" applyFont="1" applyFill="1" applyBorder="1" applyAlignment="1">
      <alignment horizontal="center"/>
    </xf>
    <xf numFmtId="0" fontId="3" fillId="0" borderId="0" xfId="0" applyNumberFormat="1" applyFont="1" applyAlignment="1">
      <alignment horizontal="center"/>
    </xf>
    <xf numFmtId="0" fontId="3" fillId="0" borderId="16" xfId="0" applyNumberFormat="1" applyFont="1" applyFill="1" applyBorder="1" applyAlignment="1">
      <alignment horizontal="center"/>
    </xf>
    <xf numFmtId="0" fontId="15" fillId="0" borderId="0" xfId="0" applyNumberFormat="1" applyFont="1" applyAlignment="1">
      <alignment horizontal="center"/>
    </xf>
    <xf numFmtId="0" fontId="3" fillId="0" borderId="0" xfId="0" applyNumberFormat="1" applyFont="1" applyFill="1" applyAlignment="1">
      <alignment horizontal="center"/>
    </xf>
    <xf numFmtId="171" fontId="5" fillId="0" borderId="0" xfId="0" applyNumberFormat="1" applyFont="1" applyFill="1" applyAlignment="1">
      <alignment horizontal="center"/>
    </xf>
    <xf numFmtId="6" fontId="5" fillId="0" borderId="0" xfId="0" applyNumberFormat="1" applyFont="1" applyBorder="1" applyAlignment="1">
      <alignment/>
    </xf>
    <xf numFmtId="10" fontId="5" fillId="0" borderId="0" xfId="74" applyNumberFormat="1" applyFont="1" applyAlignment="1">
      <alignment/>
    </xf>
    <xf numFmtId="9" fontId="5" fillId="0" borderId="0" xfId="0" applyNumberFormat="1" applyFont="1" applyAlignment="1">
      <alignment/>
    </xf>
    <xf numFmtId="41" fontId="5" fillId="0" borderId="0" xfId="0" applyNumberFormat="1" applyFont="1" applyAlignment="1">
      <alignment/>
    </xf>
    <xf numFmtId="2" fontId="19" fillId="0" borderId="0" xfId="0" applyNumberFormat="1" applyFont="1" applyFill="1" applyAlignment="1">
      <alignment horizontal="center"/>
    </xf>
    <xf numFmtId="0" fontId="5" fillId="35" borderId="17" xfId="0" applyNumberFormat="1" applyFont="1" applyFill="1" applyBorder="1" applyAlignment="1">
      <alignment/>
    </xf>
    <xf numFmtId="2" fontId="3" fillId="0" borderId="0" xfId="0" applyNumberFormat="1" applyFont="1" applyBorder="1" applyAlignment="1">
      <alignment/>
    </xf>
    <xf numFmtId="0" fontId="106" fillId="36" borderId="12" xfId="0" applyFont="1" applyFill="1" applyBorder="1" applyAlignment="1">
      <alignment horizontal="center" vertical="center" wrapText="1"/>
    </xf>
    <xf numFmtId="0" fontId="3" fillId="0" borderId="0" xfId="0" applyNumberFormat="1" applyFont="1" applyBorder="1" applyAlignment="1">
      <alignment horizontal="center"/>
    </xf>
    <xf numFmtId="0" fontId="5" fillId="0" borderId="17" xfId="0" applyFont="1" applyFill="1" applyBorder="1" applyAlignment="1">
      <alignment/>
    </xf>
    <xf numFmtId="8" fontId="3" fillId="0" borderId="0" xfId="0" applyNumberFormat="1" applyFont="1" applyFill="1" applyBorder="1" applyAlignment="1">
      <alignment horizontal="center"/>
    </xf>
    <xf numFmtId="0" fontId="6" fillId="0" borderId="10" xfId="0" applyFont="1" applyFill="1" applyBorder="1" applyAlignment="1">
      <alignment horizontal="left" vertical="center"/>
    </xf>
    <xf numFmtId="0" fontId="106" fillId="0" borderId="0" xfId="0" applyFont="1" applyFill="1" applyBorder="1" applyAlignment="1">
      <alignment horizontal="center" vertical="center"/>
    </xf>
    <xf numFmtId="0" fontId="108" fillId="0" borderId="0" xfId="0" applyFont="1" applyFill="1" applyBorder="1" applyAlignment="1">
      <alignment horizontal="left"/>
    </xf>
    <xf numFmtId="0" fontId="108" fillId="0" borderId="0" xfId="0" applyFont="1" applyFill="1" applyBorder="1" applyAlignment="1">
      <alignment/>
    </xf>
    <xf numFmtId="168" fontId="5" fillId="0" borderId="16" xfId="0" applyNumberFormat="1" applyFont="1" applyFill="1" applyBorder="1" applyAlignment="1">
      <alignment/>
    </xf>
    <xf numFmtId="0" fontId="109" fillId="0" borderId="0" xfId="0" applyFont="1" applyBorder="1" applyAlignment="1">
      <alignment/>
    </xf>
    <xf numFmtId="9" fontId="110" fillId="0" borderId="0" xfId="0" applyNumberFormat="1" applyFont="1" applyBorder="1" applyAlignment="1">
      <alignment horizontal="center"/>
    </xf>
    <xf numFmtId="0" fontId="110" fillId="0" borderId="0" xfId="0" applyFont="1" applyBorder="1" applyAlignment="1">
      <alignment horizontal="center"/>
    </xf>
    <xf numFmtId="0" fontId="109" fillId="0" borderId="0" xfId="0" applyFont="1" applyBorder="1" applyAlignment="1">
      <alignment/>
    </xf>
    <xf numFmtId="0" fontId="5" fillId="0" borderId="0" xfId="0" applyFont="1" applyFill="1" applyBorder="1" applyAlignment="1">
      <alignment horizontal="right"/>
    </xf>
    <xf numFmtId="0" fontId="21" fillId="0" borderId="0" xfId="0" applyNumberFormat="1" applyFont="1" applyAlignment="1">
      <alignment horizontal="center"/>
    </xf>
    <xf numFmtId="0" fontId="3" fillId="0" borderId="14" xfId="0" applyNumberFormat="1" applyFont="1" applyBorder="1" applyAlignment="1">
      <alignment horizontal="center"/>
    </xf>
    <xf numFmtId="0" fontId="2" fillId="37" borderId="0" xfId="0" applyNumberFormat="1" applyFont="1" applyFill="1" applyAlignment="1">
      <alignment/>
    </xf>
    <xf numFmtId="0" fontId="5" fillId="37" borderId="0" xfId="0" applyNumberFormat="1" applyFont="1" applyFill="1" applyAlignment="1">
      <alignment/>
    </xf>
    <xf numFmtId="0" fontId="5" fillId="37" borderId="0" xfId="0" applyNumberFormat="1" applyFont="1" applyFill="1" applyAlignment="1">
      <alignment horizontal="center"/>
    </xf>
    <xf numFmtId="0" fontId="22" fillId="37" borderId="0" xfId="0" applyNumberFormat="1" applyFont="1" applyFill="1" applyAlignment="1">
      <alignment/>
    </xf>
    <xf numFmtId="0" fontId="16" fillId="37" borderId="0" xfId="0" applyNumberFormat="1" applyFont="1" applyFill="1" applyAlignment="1">
      <alignment horizontal="center"/>
    </xf>
    <xf numFmtId="168" fontId="5" fillId="37" borderId="0" xfId="0" applyNumberFormat="1" applyFont="1" applyFill="1" applyAlignment="1">
      <alignment horizontal="center"/>
    </xf>
    <xf numFmtId="0" fontId="111" fillId="37" borderId="0" xfId="0" applyNumberFormat="1" applyFont="1" applyFill="1" applyAlignment="1">
      <alignment/>
    </xf>
    <xf numFmtId="10" fontId="9" fillId="37" borderId="0" xfId="74" applyNumberFormat="1" applyFont="1" applyFill="1" applyAlignment="1">
      <alignment/>
    </xf>
    <xf numFmtId="10" fontId="5" fillId="37" borderId="0" xfId="74" applyNumberFormat="1" applyFont="1" applyFill="1" applyAlignment="1">
      <alignment/>
    </xf>
    <xf numFmtId="168" fontId="21" fillId="37" borderId="0" xfId="0" applyNumberFormat="1" applyFont="1" applyFill="1" applyAlignment="1">
      <alignment horizontal="center"/>
    </xf>
    <xf numFmtId="168" fontId="5" fillId="37" borderId="0" xfId="0" applyNumberFormat="1" applyFont="1" applyFill="1" applyAlignment="1">
      <alignment/>
    </xf>
    <xf numFmtId="168" fontId="5" fillId="37" borderId="0" xfId="0" applyNumberFormat="1" applyFont="1" applyFill="1" applyBorder="1" applyAlignment="1">
      <alignment/>
    </xf>
    <xf numFmtId="168" fontId="5" fillId="37" borderId="0" xfId="74" applyNumberFormat="1" applyFont="1" applyFill="1" applyAlignment="1">
      <alignment/>
    </xf>
    <xf numFmtId="168" fontId="5" fillId="37" borderId="0" xfId="74" applyNumberFormat="1" applyFont="1" applyFill="1" applyBorder="1" applyAlignment="1">
      <alignment/>
    </xf>
    <xf numFmtId="0" fontId="5" fillId="37" borderId="16" xfId="0" applyNumberFormat="1" applyFont="1" applyFill="1" applyBorder="1" applyAlignment="1">
      <alignment/>
    </xf>
    <xf numFmtId="168" fontId="5" fillId="37" borderId="16" xfId="0" applyNumberFormat="1" applyFont="1" applyFill="1" applyBorder="1" applyAlignment="1">
      <alignment/>
    </xf>
    <xf numFmtId="0" fontId="5" fillId="37" borderId="0" xfId="0" applyNumberFormat="1" applyFont="1" applyFill="1" applyBorder="1" applyAlignment="1">
      <alignment/>
    </xf>
    <xf numFmtId="168" fontId="3" fillId="37" borderId="0" xfId="0" applyNumberFormat="1" applyFont="1" applyFill="1" applyBorder="1" applyAlignment="1">
      <alignment horizontal="center" vertical="center"/>
    </xf>
    <xf numFmtId="1" fontId="5" fillId="37" borderId="0" xfId="74" applyNumberFormat="1" applyFont="1" applyFill="1" applyBorder="1" applyAlignment="1">
      <alignment/>
    </xf>
    <xf numFmtId="168" fontId="5" fillId="37" borderId="0" xfId="0" applyNumberFormat="1" applyFont="1" applyFill="1" applyBorder="1" applyAlignment="1">
      <alignment horizontal="right"/>
    </xf>
    <xf numFmtId="0" fontId="5" fillId="37" borderId="0" xfId="0" applyNumberFormat="1" applyFont="1" applyFill="1" applyAlignment="1">
      <alignment horizontal="left" indent="1"/>
    </xf>
    <xf numFmtId="6" fontId="5" fillId="37" borderId="0" xfId="0" applyNumberFormat="1" applyFont="1" applyFill="1" applyBorder="1" applyAlignment="1">
      <alignment horizontal="right"/>
    </xf>
    <xf numFmtId="0" fontId="3" fillId="37" borderId="17" xfId="0" applyNumberFormat="1" applyFont="1" applyFill="1" applyBorder="1" applyAlignment="1">
      <alignment horizontal="right"/>
    </xf>
    <xf numFmtId="0" fontId="5" fillId="37" borderId="17" xfId="0" applyNumberFormat="1" applyFont="1" applyFill="1" applyBorder="1" applyAlignment="1">
      <alignment/>
    </xf>
    <xf numFmtId="0" fontId="2" fillId="37" borderId="17" xfId="0" applyNumberFormat="1" applyFont="1" applyFill="1" applyBorder="1" applyAlignment="1">
      <alignment horizontal="center"/>
    </xf>
    <xf numFmtId="10" fontId="5" fillId="37" borderId="17" xfId="74" applyNumberFormat="1" applyFont="1" applyFill="1" applyBorder="1" applyAlignment="1">
      <alignment horizontal="right"/>
    </xf>
    <xf numFmtId="0" fontId="2" fillId="37" borderId="0" xfId="0" applyNumberFormat="1" applyFont="1" applyFill="1" applyBorder="1" applyAlignment="1">
      <alignment horizontal="center"/>
    </xf>
    <xf numFmtId="10" fontId="5" fillId="37" borderId="0" xfId="74" applyNumberFormat="1" applyFont="1" applyFill="1" applyBorder="1" applyAlignment="1">
      <alignment horizontal="right"/>
    </xf>
    <xf numFmtId="174" fontId="2" fillId="37" borderId="0" xfId="0" applyNumberFormat="1" applyFont="1" applyFill="1" applyAlignment="1">
      <alignment horizontal="left"/>
    </xf>
    <xf numFmtId="174" fontId="5" fillId="37" borderId="0" xfId="0" applyNumberFormat="1" applyFont="1" applyFill="1" applyAlignment="1">
      <alignment horizontal="left"/>
    </xf>
    <xf numFmtId="41" fontId="5" fillId="37" borderId="0" xfId="0" applyNumberFormat="1" applyFont="1" applyFill="1" applyBorder="1" applyAlignment="1">
      <alignment horizontal="right" wrapText="1"/>
    </xf>
    <xf numFmtId="173" fontId="20" fillId="37" borderId="0" xfId="50" applyNumberFormat="1" applyFont="1" applyFill="1" applyBorder="1" applyAlignment="1">
      <alignment horizontal="right"/>
    </xf>
    <xf numFmtId="9" fontId="5" fillId="37" borderId="0" xfId="0" applyNumberFormat="1" applyFont="1" applyFill="1" applyBorder="1" applyAlignment="1">
      <alignment horizontal="right" wrapText="1"/>
    </xf>
    <xf numFmtId="41" fontId="5" fillId="37" borderId="14" xfId="0" applyNumberFormat="1" applyFont="1" applyFill="1" applyBorder="1" applyAlignment="1">
      <alignment horizontal="right" wrapText="1"/>
    </xf>
    <xf numFmtId="174" fontId="5" fillId="37" borderId="0" xfId="0" applyNumberFormat="1" applyFont="1" applyFill="1" applyAlignment="1">
      <alignment horizontal="left" indent="2"/>
    </xf>
    <xf numFmtId="174" fontId="5" fillId="37" borderId="0" xfId="0" applyNumberFormat="1" applyFont="1" applyFill="1" applyAlignment="1">
      <alignment horizontal="right"/>
    </xf>
    <xf numFmtId="174" fontId="5" fillId="37" borderId="0" xfId="0" applyNumberFormat="1" applyFont="1" applyFill="1" applyAlignment="1">
      <alignment horizontal="left" indent="1"/>
    </xf>
    <xf numFmtId="41" fontId="9" fillId="37" borderId="0" xfId="0" applyNumberFormat="1" applyFont="1" applyFill="1" applyBorder="1" applyAlignment="1">
      <alignment horizontal="right" wrapText="1"/>
    </xf>
    <xf numFmtId="6" fontId="5" fillId="37" borderId="0" xfId="0" applyNumberFormat="1" applyFont="1" applyFill="1" applyAlignment="1">
      <alignment horizontal="right" wrapText="1"/>
    </xf>
    <xf numFmtId="174" fontId="5" fillId="37" borderId="0" xfId="0" applyNumberFormat="1" applyFont="1" applyFill="1" applyBorder="1" applyAlignment="1">
      <alignment horizontal="left" indent="1"/>
    </xf>
    <xf numFmtId="41" fontId="5" fillId="37" borderId="0" xfId="0" applyNumberFormat="1" applyFont="1" applyFill="1" applyAlignment="1">
      <alignment horizontal="right" wrapText="1"/>
    </xf>
    <xf numFmtId="174" fontId="5" fillId="37" borderId="0" xfId="0" applyNumberFormat="1" applyFont="1" applyFill="1" applyAlignment="1">
      <alignment horizontal="right" wrapText="1"/>
    </xf>
    <xf numFmtId="41" fontId="9" fillId="37" borderId="0" xfId="0" applyNumberFormat="1" applyFont="1" applyFill="1" applyAlignment="1">
      <alignment horizontal="right" wrapText="1"/>
    </xf>
    <xf numFmtId="41" fontId="9" fillId="37" borderId="16" xfId="0" applyNumberFormat="1" applyFont="1" applyFill="1" applyBorder="1" applyAlignment="1">
      <alignment horizontal="right" wrapText="1"/>
    </xf>
    <xf numFmtId="6" fontId="5" fillId="37" borderId="16" xfId="0" applyNumberFormat="1" applyFont="1" applyFill="1" applyBorder="1" applyAlignment="1">
      <alignment horizontal="right" wrapText="1"/>
    </xf>
    <xf numFmtId="0" fontId="0" fillId="37" borderId="0" xfId="0" applyNumberFormat="1" applyFill="1" applyAlignment="1">
      <alignment/>
    </xf>
    <xf numFmtId="174" fontId="5" fillId="37" borderId="17" xfId="0" applyNumberFormat="1" applyFont="1" applyFill="1" applyBorder="1" applyAlignment="1">
      <alignment horizontal="left" indent="1"/>
    </xf>
    <xf numFmtId="0" fontId="0" fillId="37" borderId="17" xfId="0" applyNumberFormat="1" applyFill="1" applyBorder="1" applyAlignment="1">
      <alignment/>
    </xf>
    <xf numFmtId="6" fontId="5" fillId="37" borderId="17" xfId="0" applyNumberFormat="1" applyFont="1" applyFill="1" applyBorder="1" applyAlignment="1">
      <alignment horizontal="right" wrapText="1"/>
    </xf>
    <xf numFmtId="168" fontId="112" fillId="37" borderId="0" xfId="0" applyNumberFormat="1" applyFont="1" applyFill="1" applyBorder="1" applyAlignment="1">
      <alignment/>
    </xf>
    <xf numFmtId="9" fontId="113" fillId="0" borderId="0" xfId="0" applyNumberFormat="1" applyFont="1" applyFill="1" applyBorder="1" applyAlignment="1">
      <alignment horizontal="center"/>
    </xf>
    <xf numFmtId="2" fontId="5" fillId="0" borderId="0" xfId="0" applyNumberFormat="1" applyFont="1" applyFill="1" applyAlignment="1">
      <alignment horizontal="right"/>
    </xf>
    <xf numFmtId="6" fontId="5" fillId="37" borderId="0" xfId="0" applyNumberFormat="1" applyFont="1" applyFill="1" applyAlignment="1">
      <alignment horizontal="right" vertical="center" wrapText="1"/>
    </xf>
    <xf numFmtId="0" fontId="5" fillId="0" borderId="18" xfId="0" applyFont="1" applyFill="1" applyBorder="1" applyAlignment="1">
      <alignment/>
    </xf>
    <xf numFmtId="0" fontId="26" fillId="0" borderId="0" xfId="0" applyFont="1" applyFill="1" applyBorder="1" applyAlignment="1">
      <alignment vertical="center"/>
    </xf>
    <xf numFmtId="175" fontId="3" fillId="0" borderId="14" xfId="0" applyNumberFormat="1" applyFont="1" applyFill="1" applyBorder="1" applyAlignment="1">
      <alignment horizontal="center"/>
    </xf>
    <xf numFmtId="2" fontId="114" fillId="0" borderId="17" xfId="0" applyNumberFormat="1" applyFont="1" applyFill="1" applyBorder="1" applyAlignment="1">
      <alignment horizontal="center"/>
    </xf>
    <xf numFmtId="6" fontId="115" fillId="0" borderId="0" xfId="0" applyNumberFormat="1" applyFont="1" applyAlignment="1">
      <alignment/>
    </xf>
    <xf numFmtId="6" fontId="115" fillId="0" borderId="16" xfId="0" applyNumberFormat="1" applyFont="1" applyBorder="1" applyAlignment="1">
      <alignment/>
    </xf>
    <xf numFmtId="0" fontId="5" fillId="0" borderId="0" xfId="0" applyNumberFormat="1" applyFont="1" applyAlignment="1">
      <alignment wrapText="1"/>
    </xf>
    <xf numFmtId="9" fontId="5" fillId="0" borderId="16" xfId="0" applyNumberFormat="1" applyFont="1" applyBorder="1" applyAlignment="1">
      <alignment/>
    </xf>
    <xf numFmtId="9" fontId="116" fillId="0" borderId="0" xfId="0" applyNumberFormat="1" applyFont="1" applyAlignment="1">
      <alignment/>
    </xf>
    <xf numFmtId="6" fontId="5" fillId="37" borderId="0" xfId="0" applyNumberFormat="1" applyFont="1" applyFill="1" applyBorder="1" applyAlignment="1">
      <alignment/>
    </xf>
    <xf numFmtId="0" fontId="16" fillId="37" borderId="0" xfId="0" applyNumberFormat="1" applyFont="1" applyFill="1" applyAlignment="1">
      <alignment/>
    </xf>
    <xf numFmtId="0" fontId="6" fillId="0" borderId="19" xfId="0" applyFont="1" applyFill="1" applyBorder="1" applyAlignment="1">
      <alignment horizontal="center"/>
    </xf>
    <xf numFmtId="0" fontId="5" fillId="0" borderId="19" xfId="0" applyFont="1" applyFill="1" applyBorder="1" applyAlignment="1">
      <alignment/>
    </xf>
    <xf numFmtId="6" fontId="2" fillId="0" borderId="17" xfId="0" applyNumberFormat="1" applyFont="1" applyBorder="1" applyAlignment="1">
      <alignment/>
    </xf>
    <xf numFmtId="1" fontId="106" fillId="0" borderId="0" xfId="0" applyNumberFormat="1" applyFont="1" applyFill="1" applyBorder="1" applyAlignment="1">
      <alignment horizontal="right"/>
    </xf>
    <xf numFmtId="164" fontId="106" fillId="0" borderId="0" xfId="74" applyNumberFormat="1" applyFont="1" applyFill="1" applyBorder="1" applyAlignment="1">
      <alignment horizontal="right"/>
    </xf>
    <xf numFmtId="3" fontId="5" fillId="0" borderId="0" xfId="0" applyNumberFormat="1" applyFont="1" applyFill="1" applyBorder="1" applyAlignment="1">
      <alignment horizontal="right"/>
    </xf>
    <xf numFmtId="0" fontId="106" fillId="0" borderId="0" xfId="0" applyFont="1" applyFill="1" applyBorder="1" applyAlignment="1">
      <alignment horizontal="right"/>
    </xf>
    <xf numFmtId="170" fontId="106" fillId="0" borderId="0" xfId="50" applyNumberFormat="1" applyFont="1" applyFill="1" applyBorder="1" applyAlignment="1">
      <alignment horizontal="right"/>
    </xf>
    <xf numFmtId="6" fontId="106" fillId="0" borderId="0" xfId="0" applyNumberFormat="1" applyFont="1" applyFill="1" applyBorder="1" applyAlignment="1">
      <alignment horizontal="right"/>
    </xf>
    <xf numFmtId="168" fontId="5" fillId="0" borderId="0" xfId="0" applyNumberFormat="1" applyFont="1" applyFill="1" applyBorder="1" applyAlignment="1">
      <alignment horizontal="right"/>
    </xf>
    <xf numFmtId="168" fontId="5" fillId="0" borderId="0" xfId="50" applyNumberFormat="1" applyFont="1" applyFill="1" applyBorder="1" applyAlignment="1">
      <alignment horizontal="right"/>
    </xf>
    <xf numFmtId="2" fontId="106" fillId="0" borderId="0" xfId="74" applyNumberFormat="1" applyFont="1" applyFill="1" applyBorder="1" applyAlignment="1">
      <alignment horizontal="right"/>
    </xf>
    <xf numFmtId="2" fontId="5" fillId="0" borderId="0" xfId="74" applyNumberFormat="1" applyFont="1" applyFill="1" applyBorder="1" applyAlignment="1">
      <alignment horizontal="right"/>
    </xf>
    <xf numFmtId="2" fontId="106" fillId="0" borderId="0" xfId="0" applyNumberFormat="1" applyFont="1" applyFill="1" applyBorder="1" applyAlignment="1">
      <alignment horizontal="center"/>
    </xf>
    <xf numFmtId="9" fontId="106" fillId="0" borderId="0" xfId="74" applyFont="1" applyFill="1" applyBorder="1" applyAlignment="1">
      <alignment horizontal="center"/>
    </xf>
    <xf numFmtId="164" fontId="4" fillId="0" borderId="0" xfId="74" applyNumberFormat="1" applyFont="1" applyFill="1" applyBorder="1" applyAlignment="1">
      <alignment horizontal="center"/>
    </xf>
    <xf numFmtId="170" fontId="5" fillId="0" borderId="0" xfId="50" applyNumberFormat="1" applyFont="1" applyFill="1" applyBorder="1" applyAlignment="1">
      <alignment horizontal="right"/>
    </xf>
    <xf numFmtId="169" fontId="3" fillId="0" borderId="0" xfId="0" applyNumberFormat="1" applyFont="1" applyFill="1" applyBorder="1" applyAlignment="1">
      <alignment horizontal="center"/>
    </xf>
    <xf numFmtId="170" fontId="106" fillId="0" borderId="0" xfId="0" applyNumberFormat="1" applyFont="1" applyFill="1" applyBorder="1" applyAlignment="1">
      <alignment horizontal="right"/>
    </xf>
    <xf numFmtId="2" fontId="106" fillId="0" borderId="0" xfId="0" applyNumberFormat="1" applyFont="1" applyFill="1" applyBorder="1" applyAlignment="1">
      <alignment horizontal="right"/>
    </xf>
    <xf numFmtId="168" fontId="106" fillId="0" borderId="0" xfId="0" applyNumberFormat="1" applyFont="1" applyFill="1" applyBorder="1" applyAlignment="1">
      <alignment horizontal="right"/>
    </xf>
    <xf numFmtId="9" fontId="9" fillId="0" borderId="0" xfId="74" applyFont="1" applyFill="1" applyBorder="1" applyAlignment="1">
      <alignment horizontal="right"/>
    </xf>
    <xf numFmtId="9" fontId="106" fillId="0" borderId="0" xfId="74" applyNumberFormat="1" applyFont="1" applyFill="1" applyBorder="1" applyAlignment="1">
      <alignment horizontal="right"/>
    </xf>
    <xf numFmtId="10" fontId="106" fillId="0" borderId="0" xfId="74" applyNumberFormat="1" applyFont="1" applyFill="1" applyBorder="1" applyAlignment="1">
      <alignment horizontal="right"/>
    </xf>
    <xf numFmtId="9" fontId="5" fillId="0" borderId="0" xfId="74" applyNumberFormat="1" applyFont="1" applyFill="1" applyBorder="1" applyAlignment="1">
      <alignment horizontal="right"/>
    </xf>
    <xf numFmtId="9" fontId="4" fillId="0" borderId="0" xfId="74" applyFont="1" applyFill="1" applyBorder="1" applyAlignment="1">
      <alignment horizontal="right"/>
    </xf>
    <xf numFmtId="0" fontId="105" fillId="0" borderId="20" xfId="0" applyFont="1" applyFill="1" applyBorder="1" applyAlignment="1">
      <alignment horizontal="center"/>
    </xf>
    <xf numFmtId="10" fontId="3" fillId="0" borderId="0" xfId="74" applyNumberFormat="1" applyFont="1" applyFill="1" applyBorder="1" applyAlignment="1">
      <alignment horizontal="right"/>
    </xf>
    <xf numFmtId="0" fontId="5" fillId="0" borderId="21" xfId="0" applyFont="1" applyFill="1" applyBorder="1" applyAlignment="1">
      <alignment/>
    </xf>
    <xf numFmtId="0" fontId="5" fillId="0" borderId="22" xfId="0" applyFont="1" applyFill="1" applyBorder="1" applyAlignment="1">
      <alignment/>
    </xf>
    <xf numFmtId="0" fontId="2" fillId="0" borderId="15" xfId="0" applyFont="1" applyFill="1" applyBorder="1" applyAlignment="1">
      <alignment horizontal="center"/>
    </xf>
    <xf numFmtId="164" fontId="3" fillId="0" borderId="0" xfId="74" applyNumberFormat="1" applyFont="1" applyAlignment="1">
      <alignment horizontal="center"/>
    </xf>
    <xf numFmtId="173" fontId="2" fillId="0" borderId="0" xfId="42" applyNumberFormat="1" applyFont="1" applyFill="1" applyBorder="1" applyAlignment="1">
      <alignment horizontal="center"/>
    </xf>
    <xf numFmtId="9" fontId="3" fillId="0" borderId="0" xfId="74" applyFont="1" applyAlignment="1">
      <alignment horizontal="center"/>
    </xf>
    <xf numFmtId="9" fontId="3" fillId="0" borderId="0" xfId="0" applyNumberFormat="1" applyFont="1" applyAlignment="1">
      <alignment horizontal="center"/>
    </xf>
    <xf numFmtId="0" fontId="16" fillId="0" borderId="0" xfId="0" applyNumberFormat="1" applyFont="1" applyFill="1" applyBorder="1" applyAlignment="1">
      <alignment/>
    </xf>
    <xf numFmtId="2" fontId="21" fillId="0" borderId="0" xfId="0" applyNumberFormat="1" applyFont="1" applyBorder="1" applyAlignment="1">
      <alignment/>
    </xf>
    <xf numFmtId="0" fontId="5" fillId="0" borderId="23" xfId="0" applyFont="1" applyFill="1" applyBorder="1" applyAlignment="1">
      <alignment/>
    </xf>
    <xf numFmtId="0" fontId="2" fillId="0" borderId="17" xfId="0" applyFont="1" applyFill="1" applyBorder="1" applyAlignment="1">
      <alignment horizontal="center"/>
    </xf>
    <xf numFmtId="0" fontId="5" fillId="0" borderId="16" xfId="0" applyNumberFormat="1" applyFont="1" applyBorder="1" applyAlignment="1">
      <alignment wrapText="1"/>
    </xf>
    <xf numFmtId="6" fontId="27" fillId="0" borderId="0" xfId="0" applyNumberFormat="1" applyFont="1" applyAlignment="1">
      <alignment/>
    </xf>
    <xf numFmtId="6" fontId="105" fillId="0" borderId="0" xfId="0" applyNumberFormat="1" applyFont="1" applyFill="1" applyAlignment="1">
      <alignment/>
    </xf>
    <xf numFmtId="0" fontId="25" fillId="33" borderId="10" xfId="0" applyFont="1" applyFill="1" applyBorder="1" applyAlignment="1">
      <alignment/>
    </xf>
    <xf numFmtId="0" fontId="5" fillId="33" borderId="12" xfId="0" applyFont="1" applyFill="1" applyBorder="1" applyAlignment="1">
      <alignment/>
    </xf>
    <xf numFmtId="169" fontId="3" fillId="38" borderId="0" xfId="0" applyNumberFormat="1" applyFont="1" applyFill="1" applyBorder="1" applyAlignment="1">
      <alignment horizontal="center"/>
    </xf>
    <xf numFmtId="0" fontId="5" fillId="38" borderId="0" xfId="0" applyFont="1" applyFill="1" applyBorder="1" applyAlignment="1">
      <alignment/>
    </xf>
    <xf numFmtId="14" fontId="5" fillId="38" borderId="0" xfId="0" applyNumberFormat="1" applyFont="1" applyFill="1" applyBorder="1" applyAlignment="1">
      <alignment horizontal="center"/>
    </xf>
    <xf numFmtId="167" fontId="4" fillId="0" borderId="0" xfId="0" applyNumberFormat="1" applyFont="1" applyFill="1" applyBorder="1" applyAlignment="1">
      <alignment horizontal="center"/>
    </xf>
    <xf numFmtId="166" fontId="4" fillId="0" borderId="0" xfId="0" applyNumberFormat="1" applyFont="1" applyFill="1" applyBorder="1" applyAlignment="1">
      <alignment horizontal="center"/>
    </xf>
    <xf numFmtId="168" fontId="4" fillId="0" borderId="0" xfId="50" applyNumberFormat="1" applyFont="1" applyFill="1" applyBorder="1" applyAlignment="1">
      <alignment horizontal="center"/>
    </xf>
    <xf numFmtId="168" fontId="5" fillId="0" borderId="0" xfId="50" applyNumberFormat="1" applyFont="1" applyFill="1" applyBorder="1" applyAlignment="1">
      <alignment horizontal="center"/>
    </xf>
    <xf numFmtId="170" fontId="4" fillId="0" borderId="0" xfId="50" applyNumberFormat="1" applyFont="1" applyFill="1" applyBorder="1" applyAlignment="1">
      <alignment horizontal="center"/>
    </xf>
    <xf numFmtId="164" fontId="4" fillId="38" borderId="0" xfId="74" applyNumberFormat="1" applyFont="1" applyFill="1" applyBorder="1" applyAlignment="1">
      <alignment horizontal="center"/>
    </xf>
    <xf numFmtId="0" fontId="2" fillId="38" borderId="0" xfId="0" applyFont="1" applyFill="1" applyBorder="1" applyAlignment="1">
      <alignment horizontal="center"/>
    </xf>
    <xf numFmtId="9" fontId="4" fillId="0" borderId="0" xfId="74" applyFont="1" applyFill="1" applyBorder="1" applyAlignment="1">
      <alignment horizontal="center"/>
    </xf>
    <xf numFmtId="0" fontId="6" fillId="33" borderId="19" xfId="0" applyFont="1" applyFill="1" applyBorder="1" applyAlignment="1">
      <alignment vertical="center"/>
    </xf>
    <xf numFmtId="0" fontId="26" fillId="33" borderId="19" xfId="0" applyFont="1" applyFill="1" applyBorder="1" applyAlignment="1">
      <alignment vertical="center"/>
    </xf>
    <xf numFmtId="0" fontId="26" fillId="33" borderId="22" xfId="0" applyFont="1" applyFill="1" applyBorder="1" applyAlignment="1">
      <alignment vertical="center"/>
    </xf>
    <xf numFmtId="1" fontId="0" fillId="0" borderId="0" xfId="0" applyNumberFormat="1" applyAlignment="1">
      <alignment/>
    </xf>
    <xf numFmtId="10" fontId="5" fillId="37" borderId="0" xfId="74" applyNumberFormat="1" applyFont="1" applyFill="1" applyAlignment="1">
      <alignment horizontal="right" wrapText="1"/>
    </xf>
    <xf numFmtId="6" fontId="16" fillId="37" borderId="0" xfId="0" applyNumberFormat="1" applyFont="1" applyFill="1" applyAlignment="1">
      <alignment horizontal="center" wrapText="1"/>
    </xf>
    <xf numFmtId="177" fontId="5" fillId="37" borderId="0" xfId="0" applyNumberFormat="1" applyFont="1" applyFill="1" applyAlignment="1">
      <alignment horizontal="center" wrapText="1"/>
    </xf>
    <xf numFmtId="1" fontId="106" fillId="37" borderId="0" xfId="0" applyNumberFormat="1" applyFont="1" applyFill="1" applyAlignment="1">
      <alignment horizontal="right" wrapText="1"/>
    </xf>
    <xf numFmtId="177" fontId="5" fillId="37" borderId="0" xfId="0" applyNumberFormat="1" applyFont="1" applyFill="1" applyAlignment="1">
      <alignment horizontal="right" wrapText="1"/>
    </xf>
    <xf numFmtId="0" fontId="0" fillId="0" borderId="0" xfId="0" applyNumberFormat="1" applyFill="1" applyAlignment="1">
      <alignment/>
    </xf>
    <xf numFmtId="1" fontId="0" fillId="0" borderId="0" xfId="0" applyNumberFormat="1" applyFill="1" applyAlignment="1">
      <alignment/>
    </xf>
    <xf numFmtId="1" fontId="0" fillId="37" borderId="17" xfId="0" applyNumberFormat="1" applyFill="1" applyBorder="1" applyAlignment="1">
      <alignment/>
    </xf>
    <xf numFmtId="174" fontId="2" fillId="37" borderId="0" xfId="0" applyNumberFormat="1" applyFont="1" applyFill="1" applyAlignment="1">
      <alignment horizontal="left" indent="1"/>
    </xf>
    <xf numFmtId="175" fontId="3" fillId="0" borderId="0" xfId="0" applyNumberFormat="1" applyFont="1" applyFill="1" applyAlignment="1">
      <alignment horizontal="center"/>
    </xf>
    <xf numFmtId="1" fontId="108" fillId="0" borderId="0" xfId="0" applyNumberFormat="1" applyFont="1" applyFill="1" applyBorder="1" applyAlignment="1">
      <alignment horizontal="center"/>
    </xf>
    <xf numFmtId="0" fontId="117" fillId="33" borderId="14" xfId="0" applyNumberFormat="1" applyFont="1" applyFill="1" applyBorder="1" applyAlignment="1">
      <alignment horizontal="center"/>
    </xf>
    <xf numFmtId="0" fontId="117" fillId="33" borderId="24" xfId="0" applyNumberFormat="1" applyFont="1" applyFill="1" applyBorder="1" applyAlignment="1">
      <alignment horizontal="center"/>
    </xf>
    <xf numFmtId="2" fontId="118" fillId="33" borderId="13" xfId="0" applyNumberFormat="1" applyFont="1" applyFill="1" applyBorder="1" applyAlignment="1">
      <alignment horizontal="center"/>
    </xf>
    <xf numFmtId="0" fontId="119" fillId="0" borderId="0" xfId="0" applyFont="1" applyFill="1" applyBorder="1" applyAlignment="1">
      <alignment/>
    </xf>
    <xf numFmtId="0" fontId="15" fillId="33" borderId="11" xfId="0" applyNumberFormat="1" applyFont="1" applyFill="1" applyBorder="1" applyAlignment="1">
      <alignment horizontal="center"/>
    </xf>
    <xf numFmtId="0" fontId="16" fillId="0" borderId="0" xfId="0" applyFont="1" applyFill="1" applyBorder="1" applyAlignment="1">
      <alignment horizontal="center"/>
    </xf>
    <xf numFmtId="0" fontId="5" fillId="39" borderId="0" xfId="0" applyFont="1" applyFill="1" applyBorder="1" applyAlignment="1">
      <alignment/>
    </xf>
    <xf numFmtId="0" fontId="2" fillId="39" borderId="0" xfId="0" applyFont="1" applyFill="1" applyBorder="1" applyAlignment="1">
      <alignment horizontal="center"/>
    </xf>
    <xf numFmtId="0" fontId="5" fillId="39" borderId="25" xfId="0" applyFont="1" applyFill="1" applyBorder="1" applyAlignment="1">
      <alignment/>
    </xf>
    <xf numFmtId="0" fontId="5" fillId="39" borderId="19" xfId="0" applyFont="1" applyFill="1" applyBorder="1" applyAlignment="1">
      <alignment/>
    </xf>
    <xf numFmtId="0" fontId="2" fillId="39" borderId="19" xfId="0" applyFont="1" applyFill="1" applyBorder="1" applyAlignment="1">
      <alignment horizontal="center"/>
    </xf>
    <xf numFmtId="0" fontId="5" fillId="39" borderId="22" xfId="0" applyFont="1" applyFill="1" applyBorder="1" applyAlignment="1">
      <alignment/>
    </xf>
    <xf numFmtId="0" fontId="5" fillId="39" borderId="15" xfId="0" applyFont="1" applyFill="1" applyBorder="1" applyAlignment="1">
      <alignment/>
    </xf>
    <xf numFmtId="0" fontId="120" fillId="39" borderId="0" xfId="0" applyFont="1" applyFill="1" applyBorder="1" applyAlignment="1">
      <alignment/>
    </xf>
    <xf numFmtId="0" fontId="5" fillId="39" borderId="18" xfId="0" applyFont="1" applyFill="1" applyBorder="1" applyAlignment="1">
      <alignment/>
    </xf>
    <xf numFmtId="0" fontId="5" fillId="39" borderId="21" xfId="0" applyFont="1" applyFill="1" applyBorder="1" applyAlignment="1">
      <alignment/>
    </xf>
    <xf numFmtId="0" fontId="5" fillId="39" borderId="17" xfId="0" applyFont="1" applyFill="1" applyBorder="1" applyAlignment="1">
      <alignment/>
    </xf>
    <xf numFmtId="0" fontId="120" fillId="39" borderId="17" xfId="0" applyFont="1" applyFill="1" applyBorder="1" applyAlignment="1">
      <alignment/>
    </xf>
    <xf numFmtId="0" fontId="2" fillId="39" borderId="17" xfId="0" applyFont="1" applyFill="1" applyBorder="1" applyAlignment="1">
      <alignment horizontal="center"/>
    </xf>
    <xf numFmtId="0" fontId="5" fillId="39" borderId="23" xfId="0" applyFont="1" applyFill="1" applyBorder="1" applyAlignment="1">
      <alignment/>
    </xf>
    <xf numFmtId="0" fontId="25" fillId="39" borderId="19" xfId="0" applyNumberFormat="1" applyFont="1" applyFill="1" applyBorder="1" applyAlignment="1">
      <alignment/>
    </xf>
    <xf numFmtId="9" fontId="107" fillId="0" borderId="0" xfId="0" applyNumberFormat="1" applyFont="1" applyFill="1" applyBorder="1" applyAlignment="1">
      <alignment horizontal="left"/>
    </xf>
    <xf numFmtId="0" fontId="118" fillId="33" borderId="14" xfId="0" applyFont="1" applyFill="1" applyBorder="1" applyAlignment="1">
      <alignment horizontal="center"/>
    </xf>
    <xf numFmtId="164" fontId="106" fillId="0" borderId="14" xfId="74" applyNumberFormat="1" applyFont="1" applyFill="1" applyBorder="1" applyAlignment="1">
      <alignment horizontal="center"/>
    </xf>
    <xf numFmtId="164" fontId="118" fillId="33" borderId="24" xfId="74" applyNumberFormat="1" applyFont="1" applyFill="1" applyBorder="1" applyAlignment="1">
      <alignment horizontal="center"/>
    </xf>
    <xf numFmtId="0" fontId="5" fillId="40" borderId="0" xfId="0" applyFont="1" applyFill="1" applyBorder="1" applyAlignment="1">
      <alignment/>
    </xf>
    <xf numFmtId="168" fontId="5" fillId="40" borderId="0" xfId="0" applyNumberFormat="1" applyFont="1" applyFill="1" applyBorder="1" applyAlignment="1">
      <alignment horizontal="center"/>
    </xf>
    <xf numFmtId="169" fontId="3" fillId="40" borderId="0" xfId="0" applyNumberFormat="1" applyFont="1" applyFill="1" applyBorder="1" applyAlignment="1">
      <alignment horizontal="center"/>
    </xf>
    <xf numFmtId="9" fontId="4" fillId="40" borderId="0" xfId="74" applyFont="1" applyFill="1" applyBorder="1" applyAlignment="1">
      <alignment horizontal="center"/>
    </xf>
    <xf numFmtId="168" fontId="4" fillId="40" borderId="0" xfId="74" applyNumberFormat="1" applyFont="1" applyFill="1" applyBorder="1" applyAlignment="1">
      <alignment horizontal="center"/>
    </xf>
    <xf numFmtId="0" fontId="105" fillId="40" borderId="0" xfId="0" applyFont="1" applyFill="1" applyBorder="1" applyAlignment="1">
      <alignment horizontal="center"/>
    </xf>
    <xf numFmtId="0" fontId="2" fillId="40" borderId="0" xfId="0" applyFont="1" applyFill="1" applyBorder="1" applyAlignment="1">
      <alignment horizontal="center"/>
    </xf>
    <xf numFmtId="0" fontId="4" fillId="40" borderId="0" xfId="0" applyNumberFormat="1" applyFont="1" applyFill="1" applyBorder="1" applyAlignment="1">
      <alignment horizontal="center"/>
    </xf>
    <xf numFmtId="2" fontId="0" fillId="37" borderId="0" xfId="0" applyNumberFormat="1" applyFill="1" applyAlignment="1">
      <alignment/>
    </xf>
    <xf numFmtId="6" fontId="2" fillId="0" borderId="0" xfId="0" applyNumberFormat="1" applyFont="1" applyFill="1" applyBorder="1" applyAlignment="1">
      <alignment horizontal="center"/>
    </xf>
    <xf numFmtId="0" fontId="2" fillId="0" borderId="26" xfId="0" applyNumberFormat="1" applyFont="1" applyBorder="1" applyAlignment="1">
      <alignment horizontal="center"/>
    </xf>
    <xf numFmtId="2" fontId="114" fillId="3" borderId="27" xfId="0" applyNumberFormat="1" applyFont="1" applyFill="1" applyBorder="1" applyAlignment="1">
      <alignment horizontal="center"/>
    </xf>
    <xf numFmtId="0" fontId="15" fillId="0" borderId="27" xfId="0" applyNumberFormat="1" applyFont="1" applyBorder="1" applyAlignment="1">
      <alignment horizontal="center"/>
    </xf>
    <xf numFmtId="2" fontId="2" fillId="0" borderId="0" xfId="0" applyNumberFormat="1" applyFont="1" applyFill="1" applyBorder="1" applyAlignment="1">
      <alignment horizontal="center"/>
    </xf>
    <xf numFmtId="1" fontId="121" fillId="0" borderId="0" xfId="0" applyNumberFormat="1" applyFont="1" applyFill="1" applyBorder="1" applyAlignment="1">
      <alignment horizontal="center"/>
    </xf>
    <xf numFmtId="6" fontId="122" fillId="0" borderId="0" xfId="0" applyNumberFormat="1" applyFont="1" applyFill="1" applyBorder="1" applyAlignment="1">
      <alignment horizontal="center"/>
    </xf>
    <xf numFmtId="6" fontId="123" fillId="0" borderId="0" xfId="0" applyNumberFormat="1" applyFont="1" applyFill="1" applyBorder="1" applyAlignment="1">
      <alignment/>
    </xf>
    <xf numFmtId="6" fontId="123" fillId="0" borderId="0" xfId="0" applyNumberFormat="1" applyFont="1" applyFill="1" applyBorder="1" applyAlignment="1">
      <alignment horizontal="center"/>
    </xf>
    <xf numFmtId="1" fontId="123" fillId="0" borderId="0" xfId="0" applyNumberFormat="1" applyFont="1" applyFill="1" applyBorder="1" applyAlignment="1">
      <alignment horizontal="center"/>
    </xf>
    <xf numFmtId="0" fontId="121" fillId="0" borderId="0" xfId="0" applyNumberFormat="1" applyFont="1" applyFill="1" applyBorder="1" applyAlignment="1">
      <alignment/>
    </xf>
    <xf numFmtId="0" fontId="5" fillId="0" borderId="28" xfId="0" applyFont="1" applyFill="1" applyBorder="1" applyAlignment="1">
      <alignment/>
    </xf>
    <xf numFmtId="0" fontId="6" fillId="0" borderId="29" xfId="0" applyFont="1" applyFill="1" applyBorder="1" applyAlignment="1">
      <alignment horizontal="center"/>
    </xf>
    <xf numFmtId="0" fontId="5" fillId="0" borderId="30" xfId="0" applyFont="1" applyFill="1" applyBorder="1" applyAlignment="1">
      <alignment/>
    </xf>
    <xf numFmtId="0" fontId="3" fillId="0" borderId="30" xfId="0" applyFont="1" applyFill="1" applyBorder="1" applyAlignment="1">
      <alignment horizontal="center"/>
    </xf>
    <xf numFmtId="0" fontId="3" fillId="0" borderId="17" xfId="0" applyFont="1" applyFill="1" applyBorder="1" applyAlignment="1">
      <alignment horizontal="center"/>
    </xf>
    <xf numFmtId="0" fontId="105" fillId="0" borderId="30" xfId="0" applyFont="1" applyFill="1" applyBorder="1" applyAlignment="1">
      <alignment horizontal="center"/>
    </xf>
    <xf numFmtId="3" fontId="2" fillId="33" borderId="24" xfId="0" applyNumberFormat="1" applyFont="1" applyFill="1" applyBorder="1" applyAlignment="1">
      <alignment horizontal="left"/>
    </xf>
    <xf numFmtId="0" fontId="5" fillId="0" borderId="25" xfId="0" applyFont="1" applyFill="1" applyBorder="1" applyAlignment="1">
      <alignment/>
    </xf>
    <xf numFmtId="0" fontId="113" fillId="0" borderId="19" xfId="0" applyFont="1" applyFill="1" applyBorder="1" applyAlignment="1">
      <alignment horizontal="center" vertical="center" wrapText="1"/>
    </xf>
    <xf numFmtId="0" fontId="2" fillId="0" borderId="19" xfId="0" applyFont="1" applyFill="1" applyBorder="1" applyAlignment="1">
      <alignment horizontal="center"/>
    </xf>
    <xf numFmtId="0" fontId="5" fillId="40" borderId="19" xfId="0" applyFont="1" applyFill="1" applyBorder="1" applyAlignment="1">
      <alignment/>
    </xf>
    <xf numFmtId="0" fontId="106" fillId="0" borderId="19" xfId="0" applyFont="1" applyFill="1" applyBorder="1" applyAlignment="1">
      <alignment horizontal="center" vertical="center" wrapText="1"/>
    </xf>
    <xf numFmtId="0" fontId="106" fillId="0" borderId="22" xfId="0" applyFont="1" applyFill="1" applyBorder="1" applyAlignment="1">
      <alignment horizontal="center" vertical="center" wrapText="1"/>
    </xf>
    <xf numFmtId="0" fontId="106" fillId="0" borderId="18" xfId="0" applyFont="1" applyFill="1" applyBorder="1" applyAlignment="1">
      <alignment horizontal="center" vertical="center"/>
    </xf>
    <xf numFmtId="165" fontId="8" fillId="0" borderId="18" xfId="0" applyNumberFormat="1" applyFont="1" applyFill="1" applyBorder="1" applyAlignment="1">
      <alignment horizontal="center"/>
    </xf>
    <xf numFmtId="1" fontId="108" fillId="0" borderId="18" xfId="0" applyNumberFormat="1" applyFont="1" applyFill="1" applyBorder="1" applyAlignment="1">
      <alignment horizontal="center"/>
    </xf>
    <xf numFmtId="1" fontId="108" fillId="0" borderId="18" xfId="0" applyNumberFormat="1" applyFont="1" applyFill="1" applyBorder="1" applyAlignment="1">
      <alignment horizontal="left"/>
    </xf>
    <xf numFmtId="0" fontId="122" fillId="0" borderId="17" xfId="0" applyFont="1" applyFill="1" applyBorder="1" applyAlignment="1">
      <alignment/>
    </xf>
    <xf numFmtId="3" fontId="2" fillId="33" borderId="30" xfId="0" applyNumberFormat="1" applyFont="1" applyFill="1" applyBorder="1" applyAlignment="1">
      <alignment horizontal="left"/>
    </xf>
    <xf numFmtId="2" fontId="5" fillId="0" borderId="0" xfId="0" applyNumberFormat="1" applyFont="1" applyFill="1" applyBorder="1" applyAlignment="1">
      <alignment horizontal="center"/>
    </xf>
    <xf numFmtId="2" fontId="119" fillId="0" borderId="0" xfId="74" applyNumberFormat="1" applyFont="1" applyFill="1" applyBorder="1" applyAlignment="1">
      <alignment horizontal="right"/>
    </xf>
    <xf numFmtId="165" fontId="15" fillId="33" borderId="12" xfId="0" applyNumberFormat="1" applyFont="1" applyFill="1" applyBorder="1" applyAlignment="1">
      <alignment horizontal="center"/>
    </xf>
    <xf numFmtId="0" fontId="2" fillId="0" borderId="31" xfId="0" applyFont="1" applyFill="1" applyBorder="1" applyAlignment="1">
      <alignment horizontal="center"/>
    </xf>
    <xf numFmtId="0" fontId="15" fillId="0" borderId="0" xfId="0" applyNumberFormat="1" applyFont="1" applyFill="1" applyAlignment="1">
      <alignment horizontal="center"/>
    </xf>
    <xf numFmtId="168" fontId="3" fillId="37" borderId="0" xfId="0" applyNumberFormat="1" applyFont="1" applyFill="1" applyAlignment="1">
      <alignment horizontal="center"/>
    </xf>
    <xf numFmtId="9" fontId="5" fillId="37" borderId="0" xfId="74" applyFont="1" applyFill="1" applyAlignment="1">
      <alignment horizontal="center"/>
    </xf>
    <xf numFmtId="168" fontId="2" fillId="37" borderId="0" xfId="0" applyNumberFormat="1" applyFont="1" applyFill="1" applyAlignment="1">
      <alignment horizontal="center"/>
    </xf>
    <xf numFmtId="0" fontId="105" fillId="0" borderId="13" xfId="0" applyFont="1" applyFill="1" applyBorder="1" applyAlignment="1">
      <alignment horizontal="center"/>
    </xf>
    <xf numFmtId="0" fontId="15" fillId="33" borderId="10" xfId="0" applyFont="1" applyFill="1" applyBorder="1" applyAlignment="1">
      <alignment/>
    </xf>
    <xf numFmtId="0" fontId="105" fillId="0" borderId="32" xfId="0" applyFont="1" applyFill="1" applyBorder="1" applyAlignment="1">
      <alignment horizontal="center"/>
    </xf>
    <xf numFmtId="3" fontId="2" fillId="33" borderId="24" xfId="0" applyNumberFormat="1" applyFont="1" applyFill="1" applyBorder="1" applyAlignment="1">
      <alignment horizontal="center"/>
    </xf>
    <xf numFmtId="0" fontId="105" fillId="0" borderId="33" xfId="0" applyFont="1" applyFill="1" applyBorder="1" applyAlignment="1">
      <alignment horizontal="center" vertical="center"/>
    </xf>
    <xf numFmtId="10" fontId="2" fillId="41" borderId="12" xfId="74" applyNumberFormat="1" applyFont="1" applyFill="1" applyBorder="1" applyAlignment="1">
      <alignment horizontal="center" vertical="center"/>
    </xf>
    <xf numFmtId="0" fontId="2" fillId="41" borderId="25" xfId="0" applyNumberFormat="1" applyFont="1" applyFill="1" applyBorder="1" applyAlignment="1">
      <alignment horizontal="left" vertical="center" wrapText="1"/>
    </xf>
    <xf numFmtId="0" fontId="2" fillId="41" borderId="22" xfId="0" applyNumberFormat="1" applyFont="1" applyFill="1" applyBorder="1" applyAlignment="1">
      <alignment horizontal="left" vertical="center" wrapText="1"/>
    </xf>
    <xf numFmtId="6" fontId="2" fillId="41" borderId="12" xfId="0" applyNumberFormat="1" applyFont="1" applyFill="1" applyBorder="1" applyAlignment="1">
      <alignment horizontal="center"/>
    </xf>
    <xf numFmtId="0" fontId="5" fillId="0" borderId="0" xfId="0" applyNumberFormat="1" applyFont="1" applyAlignment="1">
      <alignment horizontal="right"/>
    </xf>
    <xf numFmtId="168" fontId="5" fillId="37" borderId="16" xfId="0" applyNumberFormat="1" applyFont="1" applyFill="1" applyBorder="1" applyAlignment="1">
      <alignment horizontal="center"/>
    </xf>
    <xf numFmtId="9" fontId="5" fillId="37" borderId="16" xfId="74" applyFont="1" applyFill="1" applyBorder="1" applyAlignment="1">
      <alignment horizontal="center"/>
    </xf>
    <xf numFmtId="0" fontId="5" fillId="34" borderId="34" xfId="0" applyNumberFormat="1" applyFont="1" applyFill="1" applyBorder="1" applyAlignment="1">
      <alignment/>
    </xf>
    <xf numFmtId="0" fontId="3" fillId="34" borderId="33" xfId="0" applyNumberFormat="1" applyFont="1" applyFill="1" applyBorder="1" applyAlignment="1">
      <alignment horizontal="center"/>
    </xf>
    <xf numFmtId="173" fontId="106" fillId="0" borderId="35" xfId="42" applyNumberFormat="1" applyFont="1" applyFill="1" applyBorder="1" applyAlignment="1">
      <alignment horizontal="right"/>
    </xf>
    <xf numFmtId="0" fontId="5" fillId="0" borderId="36" xfId="0" applyFont="1" applyFill="1" applyBorder="1" applyAlignment="1">
      <alignment/>
    </xf>
    <xf numFmtId="164" fontId="106" fillId="0" borderId="20" xfId="74" applyNumberFormat="1" applyFont="1" applyFill="1" applyBorder="1" applyAlignment="1">
      <alignment horizontal="right"/>
    </xf>
    <xf numFmtId="0" fontId="5" fillId="34" borderId="37" xfId="0" applyNumberFormat="1" applyFont="1" applyFill="1" applyBorder="1" applyAlignment="1">
      <alignment/>
    </xf>
    <xf numFmtId="0" fontId="5" fillId="0" borderId="36" xfId="0" applyFont="1" applyBorder="1" applyAlignment="1">
      <alignment/>
    </xf>
    <xf numFmtId="3" fontId="5" fillId="0" borderId="20" xfId="0" applyNumberFormat="1" applyFont="1" applyFill="1" applyBorder="1" applyAlignment="1">
      <alignment horizontal="right"/>
    </xf>
    <xf numFmtId="0" fontId="5" fillId="34" borderId="36" xfId="0" applyNumberFormat="1" applyFont="1" applyFill="1" applyBorder="1" applyAlignment="1">
      <alignment/>
    </xf>
    <xf numFmtId="0" fontId="5" fillId="0" borderId="38" xfId="0" applyFont="1" applyFill="1" applyBorder="1" applyAlignment="1">
      <alignment/>
    </xf>
    <xf numFmtId="0" fontId="3" fillId="34" borderId="30" xfId="0" applyNumberFormat="1" applyFont="1" applyFill="1" applyBorder="1" applyAlignment="1">
      <alignment horizontal="center"/>
    </xf>
    <xf numFmtId="0" fontId="5" fillId="0" borderId="39" xfId="0" applyFont="1" applyBorder="1" applyAlignment="1">
      <alignment/>
    </xf>
    <xf numFmtId="0" fontId="3" fillId="34" borderId="40" xfId="0" applyNumberFormat="1" applyFont="1" applyFill="1" applyBorder="1" applyAlignment="1">
      <alignment horizontal="center"/>
    </xf>
    <xf numFmtId="2" fontId="106" fillId="36" borderId="41" xfId="0" applyNumberFormat="1" applyFont="1" applyFill="1" applyBorder="1" applyAlignment="1">
      <alignment horizontal="center"/>
    </xf>
    <xf numFmtId="0" fontId="124" fillId="33" borderId="36" xfId="0" applyFont="1" applyFill="1" applyBorder="1" applyAlignment="1">
      <alignment horizontal="left" indent="1"/>
    </xf>
    <xf numFmtId="6" fontId="118" fillId="33" borderId="20" xfId="0" applyNumberFormat="1" applyFont="1" applyFill="1" applyBorder="1" applyAlignment="1">
      <alignment horizontal="right"/>
    </xf>
    <xf numFmtId="0" fontId="124" fillId="33" borderId="36" xfId="0" applyNumberFormat="1" applyFont="1" applyFill="1" applyBorder="1" applyAlignment="1">
      <alignment horizontal="left" indent="1"/>
    </xf>
    <xf numFmtId="168" fontId="124" fillId="33" borderId="42" xfId="0" applyNumberFormat="1" applyFont="1" applyFill="1" applyBorder="1" applyAlignment="1">
      <alignment horizontal="right"/>
    </xf>
    <xf numFmtId="0" fontId="125" fillId="33" borderId="38" xfId="58" applyFont="1" applyFill="1" applyBorder="1" applyAlignment="1" applyProtection="1">
      <alignment/>
      <protection/>
    </xf>
    <xf numFmtId="0" fontId="117" fillId="33" borderId="30" xfId="0" applyNumberFormat="1" applyFont="1" applyFill="1" applyBorder="1" applyAlignment="1">
      <alignment horizontal="center"/>
    </xf>
    <xf numFmtId="168" fontId="5" fillId="33" borderId="32" xfId="50" applyNumberFormat="1" applyFont="1" applyFill="1" applyBorder="1" applyAlignment="1">
      <alignment horizontal="right"/>
    </xf>
    <xf numFmtId="0" fontId="5" fillId="0" borderId="34" xfId="0" applyFont="1" applyBorder="1" applyAlignment="1">
      <alignment/>
    </xf>
    <xf numFmtId="168" fontId="5" fillId="0" borderId="35" xfId="50" applyNumberFormat="1" applyFont="1" applyFill="1" applyBorder="1" applyAlignment="1">
      <alignment horizontal="right"/>
    </xf>
    <xf numFmtId="0" fontId="5" fillId="0" borderId="38" xfId="0" applyNumberFormat="1" applyFont="1" applyFill="1" applyBorder="1" applyAlignment="1">
      <alignment/>
    </xf>
    <xf numFmtId="0" fontId="3" fillId="0" borderId="30" xfId="0" applyNumberFormat="1" applyFont="1" applyFill="1" applyBorder="1" applyAlignment="1">
      <alignment horizontal="center"/>
    </xf>
    <xf numFmtId="170" fontId="5" fillId="0" borderId="32" xfId="50" applyNumberFormat="1" applyFont="1" applyBorder="1" applyAlignment="1">
      <alignment horizontal="right"/>
    </xf>
    <xf numFmtId="0" fontId="3" fillId="0" borderId="33" xfId="0" applyFont="1" applyBorder="1" applyAlignment="1">
      <alignment horizontal="center"/>
    </xf>
    <xf numFmtId="170" fontId="106" fillId="34" borderId="35" xfId="0" applyNumberFormat="1" applyFont="1" applyFill="1" applyBorder="1" applyAlignment="1">
      <alignment horizontal="right"/>
    </xf>
    <xf numFmtId="0" fontId="5" fillId="0" borderId="36" xfId="0" applyFont="1" applyFill="1" applyBorder="1" applyAlignment="1">
      <alignment horizontal="left"/>
    </xf>
    <xf numFmtId="164" fontId="106" fillId="34" borderId="20" xfId="74" applyNumberFormat="1" applyFont="1" applyFill="1" applyBorder="1" applyAlignment="1">
      <alignment horizontal="right"/>
    </xf>
    <xf numFmtId="0" fontId="106" fillId="0" borderId="20" xfId="0" applyFont="1" applyFill="1" applyBorder="1" applyAlignment="1">
      <alignment horizontal="right"/>
    </xf>
    <xf numFmtId="0" fontId="5" fillId="0" borderId="38" xfId="0" applyFont="1" applyFill="1" applyBorder="1" applyAlignment="1">
      <alignment horizontal="left"/>
    </xf>
    <xf numFmtId="0" fontId="5" fillId="0" borderId="34" xfId="0" applyFont="1" applyFill="1" applyBorder="1" applyAlignment="1">
      <alignment/>
    </xf>
    <xf numFmtId="168" fontId="5" fillId="0" borderId="20" xfId="0" applyNumberFormat="1" applyFont="1" applyFill="1" applyBorder="1" applyAlignment="1">
      <alignment horizontal="right"/>
    </xf>
    <xf numFmtId="168" fontId="5" fillId="0" borderId="32" xfId="0" applyNumberFormat="1" applyFont="1" applyFill="1" applyBorder="1" applyAlignment="1">
      <alignment horizontal="right"/>
    </xf>
    <xf numFmtId="0" fontId="5" fillId="0" borderId="34" xfId="0" applyFont="1" applyFill="1" applyBorder="1" applyAlignment="1">
      <alignment horizontal="left"/>
    </xf>
    <xf numFmtId="0" fontId="106" fillId="0" borderId="35" xfId="0" applyFont="1" applyFill="1" applyBorder="1" applyAlignment="1">
      <alignment horizontal="right"/>
    </xf>
    <xf numFmtId="9" fontId="106" fillId="34" borderId="35" xfId="74" applyNumberFormat="1" applyFont="1" applyFill="1" applyBorder="1" applyAlignment="1">
      <alignment horizontal="right"/>
    </xf>
    <xf numFmtId="0" fontId="5" fillId="34" borderId="38" xfId="0" applyNumberFormat="1" applyFont="1" applyFill="1" applyBorder="1" applyAlignment="1">
      <alignment/>
    </xf>
    <xf numFmtId="164" fontId="106" fillId="34" borderId="43" xfId="74" applyNumberFormat="1" applyFont="1" applyFill="1" applyBorder="1" applyAlignment="1">
      <alignment horizontal="right"/>
    </xf>
    <xf numFmtId="0" fontId="5" fillId="0" borderId="34" xfId="0" applyNumberFormat="1" applyFont="1" applyFill="1" applyBorder="1" applyAlignment="1">
      <alignment/>
    </xf>
    <xf numFmtId="0" fontId="3" fillId="0" borderId="33" xfId="0" applyNumberFormat="1" applyFont="1" applyFill="1" applyBorder="1" applyAlignment="1">
      <alignment horizontal="center"/>
    </xf>
    <xf numFmtId="2" fontId="106" fillId="0" borderId="35" xfId="74" applyNumberFormat="1" applyFont="1" applyFill="1" applyBorder="1" applyAlignment="1">
      <alignment horizontal="right"/>
    </xf>
    <xf numFmtId="0" fontId="5" fillId="0" borderId="36" xfId="0" applyNumberFormat="1" applyFont="1" applyFill="1" applyBorder="1" applyAlignment="1">
      <alignment/>
    </xf>
    <xf numFmtId="2" fontId="5" fillId="0" borderId="20" xfId="74" applyNumberFormat="1" applyFont="1" applyFill="1" applyBorder="1" applyAlignment="1">
      <alignment horizontal="right"/>
    </xf>
    <xf numFmtId="2" fontId="2" fillId="40" borderId="20" xfId="74" applyNumberFormat="1" applyFont="1" applyFill="1" applyBorder="1" applyAlignment="1">
      <alignment horizontal="right"/>
    </xf>
    <xf numFmtId="2" fontId="106" fillId="0" borderId="20" xfId="74" applyNumberFormat="1" applyFont="1" applyFill="1" applyBorder="1" applyAlignment="1">
      <alignment horizontal="right"/>
    </xf>
    <xf numFmtId="2" fontId="2" fillId="40" borderId="32" xfId="74" applyNumberFormat="1" applyFont="1" applyFill="1" applyBorder="1" applyAlignment="1">
      <alignment horizontal="right"/>
    </xf>
    <xf numFmtId="9" fontId="5" fillId="34" borderId="35" xfId="74" applyNumberFormat="1" applyFont="1" applyFill="1" applyBorder="1" applyAlignment="1">
      <alignment horizontal="right"/>
    </xf>
    <xf numFmtId="0" fontId="5" fillId="0" borderId="44" xfId="0" applyFont="1" applyFill="1" applyBorder="1" applyAlignment="1">
      <alignment/>
    </xf>
    <xf numFmtId="10" fontId="5" fillId="34" borderId="35" xfId="74" applyNumberFormat="1" applyFont="1" applyFill="1" applyBorder="1" applyAlignment="1">
      <alignment horizontal="right"/>
    </xf>
    <xf numFmtId="168" fontId="106" fillId="34" borderId="32" xfId="0" applyNumberFormat="1" applyFont="1" applyFill="1" applyBorder="1" applyAlignment="1">
      <alignment horizontal="right"/>
    </xf>
    <xf numFmtId="168" fontId="5" fillId="0" borderId="35" xfId="0" applyNumberFormat="1" applyFont="1" applyFill="1" applyBorder="1" applyAlignment="1">
      <alignment horizontal="right"/>
    </xf>
    <xf numFmtId="0" fontId="5" fillId="34" borderId="45" xfId="0" applyNumberFormat="1" applyFont="1" applyFill="1" applyBorder="1" applyAlignment="1">
      <alignment/>
    </xf>
    <xf numFmtId="0" fontId="2" fillId="0" borderId="44" xfId="0" applyFont="1" applyFill="1" applyBorder="1" applyAlignment="1">
      <alignment/>
    </xf>
    <xf numFmtId="0" fontId="3" fillId="34" borderId="46" xfId="0" applyNumberFormat="1" applyFont="1" applyFill="1" applyBorder="1" applyAlignment="1">
      <alignment horizontal="center"/>
    </xf>
    <xf numFmtId="168" fontId="2" fillId="0" borderId="43" xfId="0" applyNumberFormat="1" applyFont="1" applyFill="1" applyBorder="1" applyAlignment="1">
      <alignment/>
    </xf>
    <xf numFmtId="0" fontId="5" fillId="0" borderId="40" xfId="0" applyFont="1" applyBorder="1" applyAlignment="1">
      <alignment/>
    </xf>
    <xf numFmtId="9" fontId="106" fillId="36" borderId="41" xfId="74" applyFont="1" applyFill="1" applyBorder="1" applyAlignment="1">
      <alignment horizontal="center"/>
    </xf>
    <xf numFmtId="0" fontId="5" fillId="0" borderId="47" xfId="0" applyFont="1" applyFill="1" applyBorder="1" applyAlignment="1">
      <alignment/>
    </xf>
    <xf numFmtId="0" fontId="5" fillId="0" borderId="48" xfId="0" applyFont="1" applyFill="1" applyBorder="1" applyAlignment="1">
      <alignment/>
    </xf>
    <xf numFmtId="9" fontId="106" fillId="36" borderId="43" xfId="74" applyFont="1" applyFill="1" applyBorder="1" applyAlignment="1">
      <alignment horizontal="center"/>
    </xf>
    <xf numFmtId="0" fontId="5" fillId="0" borderId="49" xfId="0" applyFont="1" applyFill="1" applyBorder="1" applyAlignment="1">
      <alignment/>
    </xf>
    <xf numFmtId="0" fontId="3" fillId="34" borderId="50" xfId="0" applyNumberFormat="1" applyFont="1" applyFill="1" applyBorder="1" applyAlignment="1">
      <alignment horizontal="center"/>
    </xf>
    <xf numFmtId="10" fontId="3" fillId="0" borderId="51" xfId="74" applyNumberFormat="1" applyFont="1" applyFill="1" applyBorder="1" applyAlignment="1">
      <alignment horizontal="right"/>
    </xf>
    <xf numFmtId="0" fontId="3" fillId="0" borderId="32" xfId="0" applyFont="1" applyFill="1" applyBorder="1" applyAlignment="1">
      <alignment horizontal="center"/>
    </xf>
    <xf numFmtId="0" fontId="5" fillId="34" borderId="44" xfId="0" applyNumberFormat="1" applyFont="1" applyFill="1" applyBorder="1" applyAlignment="1">
      <alignment/>
    </xf>
    <xf numFmtId="164" fontId="106" fillId="0" borderId="32" xfId="74" applyNumberFormat="1" applyFont="1" applyFill="1" applyBorder="1" applyAlignment="1">
      <alignment horizontal="right"/>
    </xf>
    <xf numFmtId="0" fontId="124" fillId="33" borderId="34" xfId="0" applyFont="1" applyFill="1" applyBorder="1" applyAlignment="1">
      <alignment/>
    </xf>
    <xf numFmtId="0" fontId="124" fillId="33" borderId="33" xfId="0" applyFont="1" applyFill="1" applyBorder="1" applyAlignment="1">
      <alignment/>
    </xf>
    <xf numFmtId="2" fontId="118" fillId="33" borderId="35" xfId="0" applyNumberFormat="1" applyFont="1" applyFill="1" applyBorder="1" applyAlignment="1">
      <alignment horizontal="center"/>
    </xf>
    <xf numFmtId="0" fontId="124" fillId="33" borderId="36" xfId="0" applyFont="1" applyFill="1" applyBorder="1" applyAlignment="1">
      <alignment/>
    </xf>
    <xf numFmtId="0" fontId="124" fillId="33" borderId="52" xfId="0" applyFont="1" applyFill="1" applyBorder="1" applyAlignment="1">
      <alignment/>
    </xf>
    <xf numFmtId="164" fontId="118" fillId="33" borderId="53" xfId="74" applyNumberFormat="1" applyFont="1" applyFill="1" applyBorder="1" applyAlignment="1">
      <alignment horizontal="right"/>
    </xf>
    <xf numFmtId="0" fontId="126" fillId="33" borderId="47" xfId="58" applyFont="1" applyFill="1" applyBorder="1" applyAlignment="1" applyProtection="1">
      <alignment/>
      <protection/>
    </xf>
    <xf numFmtId="0" fontId="5" fillId="33" borderId="54" xfId="0" applyFont="1" applyFill="1" applyBorder="1" applyAlignment="1">
      <alignment/>
    </xf>
    <xf numFmtId="0" fontId="5" fillId="33" borderId="55" xfId="0" applyFont="1" applyFill="1" applyBorder="1" applyAlignment="1">
      <alignment/>
    </xf>
    <xf numFmtId="9" fontId="106" fillId="36" borderId="35" xfId="74" applyFont="1" applyFill="1" applyBorder="1" applyAlignment="1">
      <alignment horizontal="center"/>
    </xf>
    <xf numFmtId="9" fontId="106" fillId="0" borderId="42" xfId="74" applyFont="1" applyFill="1" applyBorder="1" applyAlignment="1">
      <alignment horizontal="right"/>
    </xf>
    <xf numFmtId="168" fontId="5" fillId="0" borderId="43" xfId="74" applyNumberFormat="1" applyFont="1" applyFill="1" applyBorder="1" applyAlignment="1">
      <alignment horizontal="right"/>
    </xf>
    <xf numFmtId="0" fontId="5" fillId="0" borderId="33" xfId="0" applyFont="1" applyFill="1" applyBorder="1" applyAlignment="1">
      <alignment/>
    </xf>
    <xf numFmtId="0" fontId="106" fillId="36" borderId="35" xfId="0" applyFont="1" applyFill="1" applyBorder="1" applyAlignment="1">
      <alignment horizontal="center"/>
    </xf>
    <xf numFmtId="2" fontId="106" fillId="34" borderId="20" xfId="0" applyNumberFormat="1" applyFont="1" applyFill="1" applyBorder="1" applyAlignment="1">
      <alignment horizontal="right"/>
    </xf>
    <xf numFmtId="164" fontId="106" fillId="0" borderId="42" xfId="74" applyNumberFormat="1" applyFont="1" applyFill="1" applyBorder="1" applyAlignment="1">
      <alignment horizontal="right"/>
    </xf>
    <xf numFmtId="0" fontId="2" fillId="0" borderId="34" xfId="0" applyFont="1" applyFill="1" applyBorder="1" applyAlignment="1">
      <alignment/>
    </xf>
    <xf numFmtId="0" fontId="3" fillId="0" borderId="33" xfId="0" applyFont="1" applyFill="1" applyBorder="1" applyAlignment="1">
      <alignment horizontal="center"/>
    </xf>
    <xf numFmtId="6" fontId="106" fillId="0" borderId="35" xfId="0" applyNumberFormat="1" applyFont="1" applyFill="1" applyBorder="1" applyAlignment="1">
      <alignment horizontal="right"/>
    </xf>
    <xf numFmtId="9" fontId="106" fillId="0" borderId="20" xfId="74" applyFont="1" applyFill="1" applyBorder="1" applyAlignment="1">
      <alignment horizontal="right"/>
    </xf>
    <xf numFmtId="0" fontId="106" fillId="36" borderId="20" xfId="0" applyFont="1" applyFill="1" applyBorder="1" applyAlignment="1">
      <alignment horizontal="center"/>
    </xf>
    <xf numFmtId="1" fontId="106" fillId="0" borderId="35" xfId="0" applyNumberFormat="1" applyFont="1" applyFill="1" applyBorder="1" applyAlignment="1">
      <alignment horizontal="right"/>
    </xf>
    <xf numFmtId="176" fontId="106" fillId="34" borderId="42" xfId="0" applyNumberFormat="1" applyFont="1" applyFill="1" applyBorder="1" applyAlignment="1">
      <alignment horizontal="right"/>
    </xf>
    <xf numFmtId="0" fontId="15" fillId="0" borderId="56" xfId="0" applyFont="1" applyFill="1" applyBorder="1" applyAlignment="1">
      <alignment horizontal="left"/>
    </xf>
    <xf numFmtId="0" fontId="2" fillId="0" borderId="57" xfId="0" applyFont="1" applyFill="1" applyBorder="1" applyAlignment="1">
      <alignment horizontal="center"/>
    </xf>
    <xf numFmtId="0" fontId="2" fillId="0" borderId="58" xfId="0" applyFont="1" applyFill="1" applyBorder="1" applyAlignment="1">
      <alignment horizontal="center"/>
    </xf>
    <xf numFmtId="0" fontId="5" fillId="0" borderId="59" xfId="0" applyFont="1" applyFill="1" applyBorder="1" applyAlignment="1">
      <alignment horizontal="left"/>
    </xf>
    <xf numFmtId="0" fontId="15" fillId="0" borderId="56" xfId="0" applyFont="1" applyFill="1" applyBorder="1" applyAlignment="1">
      <alignment/>
    </xf>
    <xf numFmtId="0" fontId="5" fillId="0" borderId="57" xfId="0" applyFont="1" applyFill="1" applyBorder="1" applyAlignment="1">
      <alignment/>
    </xf>
    <xf numFmtId="0" fontId="5" fillId="0" borderId="58" xfId="0" applyFont="1" applyFill="1" applyBorder="1" applyAlignment="1">
      <alignment/>
    </xf>
    <xf numFmtId="6" fontId="5" fillId="0" borderId="32" xfId="0" applyNumberFormat="1" applyFont="1" applyFill="1" applyBorder="1" applyAlignment="1">
      <alignment horizontal="right"/>
    </xf>
    <xf numFmtId="0" fontId="5" fillId="0" borderId="58" xfId="0" applyFont="1" applyFill="1" applyBorder="1" applyAlignment="1">
      <alignment horizontal="right"/>
    </xf>
    <xf numFmtId="164" fontId="106" fillId="0" borderId="41" xfId="0" applyNumberFormat="1" applyFont="1" applyFill="1" applyBorder="1" applyAlignment="1">
      <alignment horizontal="right"/>
    </xf>
    <xf numFmtId="0" fontId="15" fillId="0" borderId="39" xfId="0" applyFont="1" applyFill="1" applyBorder="1" applyAlignment="1">
      <alignment horizontal="left"/>
    </xf>
    <xf numFmtId="0" fontId="2" fillId="0" borderId="39" xfId="0" applyFont="1" applyFill="1" applyBorder="1" applyAlignment="1">
      <alignment horizontal="left"/>
    </xf>
    <xf numFmtId="0" fontId="16" fillId="0" borderId="40" xfId="0" applyFont="1" applyFill="1" applyBorder="1" applyAlignment="1">
      <alignment horizontal="center"/>
    </xf>
    <xf numFmtId="0" fontId="16" fillId="0" borderId="41" xfId="0" applyFont="1" applyFill="1" applyBorder="1" applyAlignment="1">
      <alignment horizontal="center"/>
    </xf>
    <xf numFmtId="0" fontId="5" fillId="0" borderId="39" xfId="0" applyFont="1" applyFill="1" applyBorder="1" applyAlignment="1">
      <alignment horizontal="left" indent="1"/>
    </xf>
    <xf numFmtId="164" fontId="106" fillId="0" borderId="40" xfId="74" applyNumberFormat="1" applyFont="1" applyFill="1" applyBorder="1" applyAlignment="1">
      <alignment horizontal="center"/>
    </xf>
    <xf numFmtId="164" fontId="106" fillId="0" borderId="41" xfId="74" applyNumberFormat="1" applyFont="1" applyFill="1" applyBorder="1" applyAlignment="1">
      <alignment horizontal="center"/>
    </xf>
    <xf numFmtId="0" fontId="5" fillId="0" borderId="34" xfId="0" applyFont="1" applyFill="1" applyBorder="1" applyAlignment="1">
      <alignment horizontal="left" indent="1"/>
    </xf>
    <xf numFmtId="164" fontId="106" fillId="0" borderId="33" xfId="74" applyNumberFormat="1" applyFont="1" applyFill="1" applyBorder="1" applyAlignment="1">
      <alignment horizontal="center"/>
    </xf>
    <xf numFmtId="164" fontId="106" fillId="0" borderId="35" xfId="74" applyNumberFormat="1" applyFont="1" applyFill="1" applyBorder="1" applyAlignment="1">
      <alignment horizontal="center"/>
    </xf>
    <xf numFmtId="0" fontId="5" fillId="0" borderId="36" xfId="0" applyFont="1" applyFill="1" applyBorder="1" applyAlignment="1">
      <alignment horizontal="left" indent="1"/>
    </xf>
    <xf numFmtId="164" fontId="106" fillId="0" borderId="20" xfId="74" applyNumberFormat="1" applyFont="1" applyFill="1" applyBorder="1" applyAlignment="1">
      <alignment horizontal="center"/>
    </xf>
    <xf numFmtId="0" fontId="5" fillId="0" borderId="38" xfId="0" applyFont="1" applyFill="1" applyBorder="1" applyAlignment="1">
      <alignment horizontal="left" indent="1"/>
    </xf>
    <xf numFmtId="164" fontId="106" fillId="0" borderId="30" xfId="74" applyNumberFormat="1" applyFont="1" applyFill="1" applyBorder="1" applyAlignment="1">
      <alignment horizontal="center"/>
    </xf>
    <xf numFmtId="164" fontId="106" fillId="0" borderId="32" xfId="74" applyNumberFormat="1" applyFont="1" applyFill="1" applyBorder="1" applyAlignment="1">
      <alignment horizontal="center"/>
    </xf>
    <xf numFmtId="0" fontId="127" fillId="0" borderId="39" xfId="58" applyFont="1" applyFill="1" applyBorder="1" applyAlignment="1" applyProtection="1">
      <alignment/>
      <protection/>
    </xf>
    <xf numFmtId="0" fontId="2" fillId="0" borderId="40" xfId="0" applyFont="1" applyFill="1" applyBorder="1" applyAlignment="1">
      <alignment/>
    </xf>
    <xf numFmtId="0" fontId="2" fillId="0" borderId="60" xfId="0" applyFont="1" applyFill="1" applyBorder="1" applyAlignment="1">
      <alignment/>
    </xf>
    <xf numFmtId="0" fontId="2" fillId="0" borderId="41" xfId="0" applyFont="1" applyFill="1" applyBorder="1" applyAlignment="1">
      <alignment/>
    </xf>
    <xf numFmtId="165" fontId="15" fillId="33" borderId="11" xfId="0" applyNumberFormat="1" applyFont="1" applyFill="1" applyBorder="1" applyAlignment="1">
      <alignment horizontal="center"/>
    </xf>
    <xf numFmtId="0" fontId="5" fillId="42" borderId="0" xfId="0" applyFont="1" applyFill="1" applyBorder="1" applyAlignment="1">
      <alignment/>
    </xf>
    <xf numFmtId="0" fontId="25" fillId="42" borderId="0" xfId="0" applyFont="1" applyFill="1" applyBorder="1" applyAlignment="1">
      <alignment/>
    </xf>
    <xf numFmtId="0" fontId="128" fillId="42" borderId="0" xfId="0" applyFont="1" applyFill="1" applyBorder="1" applyAlignment="1">
      <alignment/>
    </xf>
    <xf numFmtId="0" fontId="24" fillId="42" borderId="0" xfId="0" applyFont="1" applyFill="1" applyBorder="1" applyAlignment="1">
      <alignment/>
    </xf>
    <xf numFmtId="0" fontId="95" fillId="42" borderId="0" xfId="58" applyFill="1" applyBorder="1" applyAlignment="1" applyProtection="1">
      <alignment/>
      <protection/>
    </xf>
    <xf numFmtId="0" fontId="6" fillId="0" borderId="15" xfId="0" applyFont="1" applyFill="1" applyBorder="1" applyAlignment="1">
      <alignment horizontal="center"/>
    </xf>
    <xf numFmtId="0" fontId="26" fillId="33" borderId="10" xfId="0" applyFont="1" applyFill="1" applyBorder="1" applyAlignment="1">
      <alignment vertical="center"/>
    </xf>
    <xf numFmtId="0" fontId="2" fillId="0" borderId="25" xfId="0" applyFont="1" applyFill="1" applyBorder="1" applyAlignment="1">
      <alignment/>
    </xf>
    <xf numFmtId="0" fontId="5" fillId="0" borderId="61" xfId="0" applyFont="1" applyFill="1" applyBorder="1" applyAlignment="1">
      <alignment/>
    </xf>
    <xf numFmtId="0" fontId="106" fillId="36" borderId="51" xfId="0" applyFont="1" applyFill="1" applyBorder="1" applyAlignment="1">
      <alignment horizontal="center"/>
    </xf>
    <xf numFmtId="0" fontId="5" fillId="0" borderId="37" xfId="0" applyFont="1" applyFill="1" applyBorder="1" applyAlignment="1">
      <alignment/>
    </xf>
    <xf numFmtId="0" fontId="106" fillId="36" borderId="42" xfId="0" applyFont="1" applyFill="1" applyBorder="1" applyAlignment="1">
      <alignment horizontal="center"/>
    </xf>
    <xf numFmtId="6" fontId="5" fillId="0" borderId="32" xfId="0" applyNumberFormat="1" applyFont="1" applyFill="1" applyBorder="1" applyAlignment="1">
      <alignment/>
    </xf>
    <xf numFmtId="9" fontId="3" fillId="34" borderId="14" xfId="74" applyFont="1" applyFill="1" applyBorder="1" applyAlignment="1">
      <alignment horizontal="center"/>
    </xf>
    <xf numFmtId="9" fontId="3" fillId="34" borderId="50" xfId="74" applyFont="1" applyFill="1" applyBorder="1" applyAlignment="1">
      <alignment horizontal="center"/>
    </xf>
    <xf numFmtId="9" fontId="3" fillId="34" borderId="62" xfId="74" applyFont="1" applyFill="1" applyBorder="1" applyAlignment="1">
      <alignment horizontal="center"/>
    </xf>
    <xf numFmtId="0" fontId="124" fillId="33" borderId="34" xfId="0" applyFont="1" applyFill="1" applyBorder="1" applyAlignment="1">
      <alignment horizontal="left" indent="1"/>
    </xf>
    <xf numFmtId="0" fontId="117" fillId="33" borderId="33" xfId="0" applyFont="1" applyFill="1" applyBorder="1" applyAlignment="1">
      <alignment horizontal="center"/>
    </xf>
    <xf numFmtId="170" fontId="118" fillId="33" borderId="35" xfId="0" applyNumberFormat="1" applyFont="1" applyFill="1" applyBorder="1" applyAlignment="1">
      <alignment horizontal="right"/>
    </xf>
    <xf numFmtId="0" fontId="5" fillId="0" borderId="38" xfId="0" applyFont="1" applyBorder="1" applyAlignment="1">
      <alignment/>
    </xf>
    <xf numFmtId="0" fontId="5" fillId="0" borderId="31" xfId="0" applyFont="1" applyFill="1" applyBorder="1" applyAlignment="1">
      <alignment/>
    </xf>
    <xf numFmtId="0" fontId="5" fillId="0" borderId="63" xfId="0" applyFont="1" applyFill="1" applyBorder="1" applyAlignment="1">
      <alignment/>
    </xf>
    <xf numFmtId="40" fontId="3" fillId="0" borderId="0" xfId="0" applyNumberFormat="1" applyFont="1" applyAlignment="1">
      <alignment horizontal="center"/>
    </xf>
    <xf numFmtId="0" fontId="111" fillId="0" borderId="0" xfId="0" applyFont="1" applyFill="1" applyBorder="1" applyAlignment="1">
      <alignment/>
    </xf>
    <xf numFmtId="0" fontId="6" fillId="0" borderId="18" xfId="0" applyFont="1" applyFill="1" applyBorder="1" applyAlignment="1">
      <alignment horizontal="center"/>
    </xf>
    <xf numFmtId="0" fontId="2" fillId="0" borderId="18" xfId="0" applyFont="1" applyFill="1" applyBorder="1" applyAlignment="1">
      <alignment horizontal="center"/>
    </xf>
    <xf numFmtId="0" fontId="6" fillId="0" borderId="22" xfId="0" applyFont="1" applyFill="1" applyBorder="1" applyAlignment="1">
      <alignment horizontal="center"/>
    </xf>
    <xf numFmtId="0" fontId="113" fillId="0" borderId="0" xfId="0" applyFont="1" applyFill="1" applyBorder="1" applyAlignment="1">
      <alignment horizontal="center"/>
    </xf>
    <xf numFmtId="0" fontId="2" fillId="0" borderId="49" xfId="0" applyFont="1" applyFill="1" applyBorder="1" applyAlignment="1">
      <alignment/>
    </xf>
    <xf numFmtId="6" fontId="106" fillId="0" borderId="20" xfId="0" applyNumberFormat="1" applyFont="1" applyFill="1" applyBorder="1" applyAlignment="1">
      <alignment horizontal="right"/>
    </xf>
    <xf numFmtId="5" fontId="106" fillId="34" borderId="20" xfId="50" applyNumberFormat="1" applyFont="1" applyFill="1" applyBorder="1" applyAlignment="1">
      <alignment horizontal="right"/>
    </xf>
    <xf numFmtId="0" fontId="5" fillId="0" borderId="59" xfId="0" applyFont="1" applyFill="1" applyBorder="1" applyAlignment="1">
      <alignment/>
    </xf>
    <xf numFmtId="0" fontId="107" fillId="36" borderId="20" xfId="0" applyFont="1" applyFill="1" applyBorder="1" applyAlignment="1">
      <alignment horizontal="center"/>
    </xf>
    <xf numFmtId="9" fontId="106" fillId="36" borderId="20" xfId="74" applyFont="1" applyFill="1" applyBorder="1" applyAlignment="1">
      <alignment horizontal="center"/>
    </xf>
    <xf numFmtId="164" fontId="106" fillId="0" borderId="64" xfId="74" applyNumberFormat="1" applyFont="1" applyFill="1" applyBorder="1" applyAlignment="1">
      <alignment horizontal="center"/>
    </xf>
    <xf numFmtId="164" fontId="106" fillId="0" borderId="65" xfId="74" applyNumberFormat="1" applyFont="1" applyFill="1" applyBorder="1" applyAlignment="1">
      <alignment horizontal="center"/>
    </xf>
    <xf numFmtId="0" fontId="16" fillId="0" borderId="60" xfId="0" applyFont="1" applyFill="1" applyBorder="1" applyAlignment="1">
      <alignment horizontal="center"/>
    </xf>
    <xf numFmtId="164" fontId="106" fillId="0" borderId="60" xfId="74" applyNumberFormat="1" applyFont="1" applyFill="1" applyBorder="1" applyAlignment="1">
      <alignment horizontal="center"/>
    </xf>
    <xf numFmtId="164" fontId="106" fillId="0" borderId="66" xfId="74" applyNumberFormat="1" applyFont="1" applyFill="1" applyBorder="1" applyAlignment="1">
      <alignment horizontal="center"/>
    </xf>
    <xf numFmtId="0" fontId="5" fillId="0" borderId="67" xfId="0" applyFont="1" applyFill="1" applyBorder="1" applyAlignment="1">
      <alignment/>
    </xf>
    <xf numFmtId="0" fontId="5" fillId="0" borderId="68" xfId="0" applyFont="1" applyFill="1" applyBorder="1" applyAlignment="1">
      <alignment horizontal="center"/>
    </xf>
    <xf numFmtId="0" fontId="5" fillId="0" borderId="16" xfId="0" applyFont="1" applyFill="1" applyBorder="1" applyAlignment="1">
      <alignment/>
    </xf>
    <xf numFmtId="0" fontId="106" fillId="0" borderId="42" xfId="0" applyFont="1" applyFill="1" applyBorder="1" applyAlignment="1">
      <alignment horizontal="right"/>
    </xf>
    <xf numFmtId="9" fontId="2" fillId="0" borderId="18" xfId="0" applyNumberFormat="1" applyFont="1" applyFill="1" applyBorder="1" applyAlignment="1">
      <alignment horizontal="center"/>
    </xf>
    <xf numFmtId="168" fontId="0" fillId="0" borderId="0" xfId="0" applyNumberFormat="1" applyAlignment="1">
      <alignment/>
    </xf>
    <xf numFmtId="0" fontId="0" fillId="0" borderId="0" xfId="0" applyAlignment="1">
      <alignment horizontal="center"/>
    </xf>
    <xf numFmtId="0" fontId="103" fillId="0" borderId="64" xfId="0" applyFont="1" applyBorder="1" applyAlignment="1">
      <alignment/>
    </xf>
    <xf numFmtId="0" fontId="103" fillId="0" borderId="63" xfId="0" applyFont="1" applyBorder="1" applyAlignment="1">
      <alignment horizontal="center"/>
    </xf>
    <xf numFmtId="0" fontId="106" fillId="0" borderId="20" xfId="74" applyNumberFormat="1" applyFont="1" applyFill="1" applyBorder="1" applyAlignment="1">
      <alignment horizontal="right"/>
    </xf>
    <xf numFmtId="2" fontId="106" fillId="36" borderId="51" xfId="0" applyNumberFormat="1" applyFont="1" applyFill="1" applyBorder="1" applyAlignment="1">
      <alignment horizontal="center"/>
    </xf>
    <xf numFmtId="0" fontId="5" fillId="0" borderId="49" xfId="0" applyFont="1" applyBorder="1" applyAlignment="1">
      <alignment/>
    </xf>
    <xf numFmtId="0" fontId="106" fillId="34" borderId="20" xfId="74" applyNumberFormat="1" applyFont="1" applyFill="1" applyBorder="1" applyAlignment="1">
      <alignment horizontal="right"/>
    </xf>
    <xf numFmtId="164" fontId="106" fillId="34" borderId="32" xfId="74" applyNumberFormat="1" applyFont="1" applyFill="1" applyBorder="1" applyAlignment="1">
      <alignment horizontal="right"/>
    </xf>
    <xf numFmtId="0" fontId="103" fillId="0" borderId="0" xfId="0" applyFont="1" applyAlignment="1">
      <alignment/>
    </xf>
    <xf numFmtId="179" fontId="77" fillId="0" borderId="19" xfId="50" applyNumberFormat="1" applyFont="1" applyBorder="1" applyAlignment="1">
      <alignment/>
    </xf>
    <xf numFmtId="10" fontId="0" fillId="0" borderId="0" xfId="0" applyNumberFormat="1" applyAlignment="1">
      <alignment/>
    </xf>
    <xf numFmtId="0" fontId="129" fillId="0" borderId="0" xfId="0" applyFont="1" applyAlignment="1">
      <alignment/>
    </xf>
    <xf numFmtId="0" fontId="130" fillId="0" borderId="0" xfId="0" applyFont="1" applyAlignment="1">
      <alignment/>
    </xf>
    <xf numFmtId="9" fontId="0" fillId="0" borderId="0" xfId="74" applyFont="1" applyAlignment="1">
      <alignment/>
    </xf>
    <xf numFmtId="0" fontId="0" fillId="0" borderId="0" xfId="0" applyBorder="1" applyAlignment="1">
      <alignment textRotation="90"/>
    </xf>
    <xf numFmtId="0" fontId="103" fillId="0" borderId="31" xfId="0" applyFont="1" applyBorder="1" applyAlignment="1">
      <alignment horizontal="center"/>
    </xf>
    <xf numFmtId="0" fontId="32" fillId="0" borderId="0" xfId="0" applyFont="1" applyAlignment="1">
      <alignment vertical="center"/>
    </xf>
    <xf numFmtId="0" fontId="80" fillId="0" borderId="0" xfId="0" applyFont="1" applyAlignment="1">
      <alignment horizontal="center" vertical="center"/>
    </xf>
    <xf numFmtId="0" fontId="80" fillId="0" borderId="0" xfId="0" applyFont="1" applyAlignment="1" quotePrefix="1">
      <alignment horizontal="center" vertical="center"/>
    </xf>
    <xf numFmtId="0" fontId="77" fillId="0" borderId="0" xfId="0" applyFont="1" applyFill="1" applyBorder="1" applyAlignment="1">
      <alignment/>
    </xf>
    <xf numFmtId="179" fontId="77" fillId="0" borderId="0" xfId="0" applyNumberFormat="1" applyFont="1" applyBorder="1" applyAlignment="1">
      <alignment/>
    </xf>
    <xf numFmtId="172" fontId="0" fillId="0" borderId="0" xfId="0" applyNumberFormat="1" applyAlignment="1">
      <alignment/>
    </xf>
    <xf numFmtId="172" fontId="103" fillId="0" borderId="0" xfId="0" applyNumberFormat="1" applyFont="1" applyBorder="1" applyAlignment="1">
      <alignment horizontal="center"/>
    </xf>
    <xf numFmtId="0" fontId="0" fillId="0" borderId="0" xfId="0" applyFill="1" applyBorder="1" applyAlignment="1">
      <alignment horizontal="center"/>
    </xf>
    <xf numFmtId="0" fontId="103" fillId="0" borderId="0" xfId="0" applyFont="1" applyBorder="1" applyAlignment="1">
      <alignment horizontal="left"/>
    </xf>
    <xf numFmtId="0" fontId="103" fillId="0" borderId="36" xfId="0" applyFont="1" applyBorder="1" applyAlignment="1">
      <alignment horizontal="left"/>
    </xf>
    <xf numFmtId="170" fontId="103" fillId="0" borderId="14" xfId="0" applyNumberFormat="1" applyFont="1" applyBorder="1" applyAlignment="1">
      <alignment horizontal="center"/>
    </xf>
    <xf numFmtId="170" fontId="103" fillId="0" borderId="20" xfId="0" applyNumberFormat="1" applyFont="1" applyBorder="1" applyAlignment="1">
      <alignment horizontal="center"/>
    </xf>
    <xf numFmtId="0" fontId="81" fillId="0" borderId="0" xfId="0" applyFont="1" applyBorder="1" applyAlignment="1">
      <alignment horizontal="center" vertical="center" textRotation="90"/>
    </xf>
    <xf numFmtId="0" fontId="0" fillId="0" borderId="0" xfId="0" applyAlignment="1">
      <alignment horizontal="center"/>
    </xf>
    <xf numFmtId="0" fontId="0" fillId="0" borderId="0" xfId="0" applyBorder="1" applyAlignment="1" quotePrefix="1">
      <alignment horizontal="center"/>
    </xf>
    <xf numFmtId="0" fontId="0" fillId="0" borderId="0" xfId="0" applyBorder="1" applyAlignment="1">
      <alignment horizontal="center"/>
    </xf>
    <xf numFmtId="172" fontId="0" fillId="0" borderId="0" xfId="0" applyNumberFormat="1" applyBorder="1" applyAlignment="1">
      <alignment horizontal="center"/>
    </xf>
    <xf numFmtId="44" fontId="0" fillId="0" borderId="0" xfId="0" applyNumberFormat="1" applyAlignment="1">
      <alignment/>
    </xf>
    <xf numFmtId="170" fontId="103" fillId="0" borderId="0" xfId="0" applyNumberFormat="1" applyFont="1" applyBorder="1" applyAlignment="1">
      <alignment horizontal="center"/>
    </xf>
    <xf numFmtId="44" fontId="0" fillId="0" borderId="0" xfId="50" applyFont="1" applyAlignment="1">
      <alignment/>
    </xf>
    <xf numFmtId="9" fontId="0" fillId="0" borderId="0" xfId="0" applyNumberFormat="1" applyAlignment="1">
      <alignment horizontal="center"/>
    </xf>
    <xf numFmtId="180" fontId="0" fillId="0" borderId="0" xfId="0" applyNumberFormat="1" applyAlignment="1">
      <alignment horizontal="center"/>
    </xf>
    <xf numFmtId="170" fontId="0" fillId="0" borderId="0" xfId="0" applyNumberFormat="1" applyAlignment="1">
      <alignment/>
    </xf>
    <xf numFmtId="170" fontId="103" fillId="0" borderId="0" xfId="0" applyNumberFormat="1" applyFont="1" applyAlignment="1">
      <alignment/>
    </xf>
    <xf numFmtId="170" fontId="103" fillId="0" borderId="0" xfId="0" applyNumberFormat="1" applyFont="1" applyBorder="1" applyAlignment="1">
      <alignment/>
    </xf>
    <xf numFmtId="0" fontId="103" fillId="0" borderId="0" xfId="0" applyFont="1" applyBorder="1" applyAlignment="1" quotePrefix="1">
      <alignment horizontal="center"/>
    </xf>
    <xf numFmtId="0" fontId="103" fillId="0" borderId="0" xfId="0" applyFont="1" applyBorder="1" applyAlignment="1">
      <alignment/>
    </xf>
    <xf numFmtId="172" fontId="131" fillId="0" borderId="0" xfId="0" applyNumberFormat="1" applyFont="1" applyBorder="1" applyAlignment="1">
      <alignment/>
    </xf>
    <xf numFmtId="0" fontId="0" fillId="0" borderId="0" xfId="0" applyAlignment="1">
      <alignment horizontal="center"/>
    </xf>
    <xf numFmtId="9" fontId="106" fillId="34" borderId="35" xfId="74" applyFont="1" applyFill="1" applyBorder="1" applyAlignment="1">
      <alignment horizontal="right"/>
    </xf>
    <xf numFmtId="168" fontId="106" fillId="34" borderId="42" xfId="74" applyNumberFormat="1" applyFont="1" applyFill="1" applyBorder="1" applyAlignment="1">
      <alignment horizontal="right"/>
    </xf>
    <xf numFmtId="0" fontId="132" fillId="0" borderId="0" xfId="0" applyFont="1" applyAlignment="1">
      <alignment/>
    </xf>
    <xf numFmtId="0" fontId="103" fillId="0" borderId="52" xfId="0" applyFont="1" applyBorder="1" applyAlignment="1">
      <alignment horizontal="right"/>
    </xf>
    <xf numFmtId="0" fontId="77" fillId="37" borderId="0" xfId="0" applyFont="1" applyFill="1" applyBorder="1" applyAlignment="1">
      <alignment/>
    </xf>
    <xf numFmtId="0" fontId="103" fillId="0" borderId="36" xfId="0" applyFont="1" applyBorder="1" applyAlignment="1">
      <alignment horizontal="right"/>
    </xf>
    <xf numFmtId="0" fontId="103" fillId="0" borderId="38" xfId="0" applyFont="1" applyBorder="1" applyAlignment="1">
      <alignment horizontal="left"/>
    </xf>
    <xf numFmtId="170" fontId="103" fillId="0" borderId="32" xfId="0" applyNumberFormat="1" applyFont="1" applyBorder="1" applyAlignment="1">
      <alignment horizontal="center"/>
    </xf>
    <xf numFmtId="170" fontId="103" fillId="0" borderId="30" xfId="0" applyNumberFormat="1" applyFont="1" applyBorder="1" applyAlignment="1">
      <alignment horizontal="center"/>
    </xf>
    <xf numFmtId="0" fontId="103" fillId="0" borderId="37" xfId="0" applyFont="1" applyBorder="1" applyAlignment="1">
      <alignment/>
    </xf>
    <xf numFmtId="0" fontId="103" fillId="33" borderId="40" xfId="0" applyFont="1" applyFill="1" applyBorder="1" applyAlignment="1">
      <alignment horizontal="center"/>
    </xf>
    <xf numFmtId="0" fontId="103" fillId="33" borderId="41" xfId="0" applyFont="1" applyFill="1" applyBorder="1" applyAlignment="1">
      <alignment horizontal="center"/>
    </xf>
    <xf numFmtId="181" fontId="0" fillId="0" borderId="0" xfId="0" applyNumberFormat="1" applyAlignment="1">
      <alignment/>
    </xf>
    <xf numFmtId="0" fontId="77" fillId="37" borderId="19" xfId="0" applyFont="1" applyFill="1" applyBorder="1" applyAlignment="1">
      <alignment/>
    </xf>
    <xf numFmtId="0" fontId="81" fillId="0" borderId="0" xfId="0" applyFont="1" applyBorder="1" applyAlignment="1">
      <alignment vertical="center" textRotation="90"/>
    </xf>
    <xf numFmtId="0" fontId="0" fillId="0" borderId="0" xfId="0" applyAlignment="1">
      <alignment horizontal="center"/>
    </xf>
    <xf numFmtId="0" fontId="0" fillId="0" borderId="0" xfId="0" applyAlignment="1">
      <alignment horizontal="center"/>
    </xf>
    <xf numFmtId="0" fontId="130" fillId="0" borderId="0" xfId="0" applyFont="1" applyBorder="1" applyAlignment="1">
      <alignment horizontal="center"/>
    </xf>
    <xf numFmtId="10" fontId="106" fillId="8" borderId="42" xfId="74" applyNumberFormat="1" applyFont="1" applyFill="1" applyBorder="1" applyAlignment="1">
      <alignment horizontal="right"/>
    </xf>
    <xf numFmtId="176" fontId="106" fillId="8" borderId="42" xfId="0" applyNumberFormat="1" applyFont="1" applyFill="1" applyBorder="1" applyAlignment="1">
      <alignment horizontal="right"/>
    </xf>
    <xf numFmtId="8" fontId="106" fillId="8" borderId="51" xfId="0" applyNumberFormat="1" applyFont="1" applyFill="1" applyBorder="1" applyAlignment="1">
      <alignment horizontal="right"/>
    </xf>
    <xf numFmtId="0" fontId="130" fillId="33" borderId="10" xfId="0" applyFont="1" applyFill="1" applyBorder="1" applyAlignment="1">
      <alignment vertical="center"/>
    </xf>
    <xf numFmtId="0" fontId="103" fillId="33" borderId="11" xfId="0" applyFont="1" applyFill="1" applyBorder="1" applyAlignment="1">
      <alignment horizontal="center" vertical="center" wrapText="1"/>
    </xf>
    <xf numFmtId="0" fontId="103" fillId="33" borderId="12" xfId="0" applyFont="1" applyFill="1" applyBorder="1" applyAlignment="1">
      <alignment horizontal="center" vertical="center" wrapText="1"/>
    </xf>
    <xf numFmtId="172" fontId="0" fillId="0" borderId="0" xfId="0" applyNumberFormat="1" applyAlignment="1">
      <alignment vertical="center" wrapText="1"/>
    </xf>
    <xf numFmtId="0" fontId="130" fillId="33" borderId="10" xfId="0" applyFont="1" applyFill="1" applyBorder="1" applyAlignment="1">
      <alignment/>
    </xf>
    <xf numFmtId="10" fontId="106" fillId="8" borderId="35" xfId="74" applyNumberFormat="1" applyFont="1" applyFill="1" applyBorder="1" applyAlignment="1">
      <alignment horizontal="right"/>
    </xf>
    <xf numFmtId="164" fontId="106" fillId="8" borderId="42" xfId="74" applyNumberFormat="1" applyFont="1" applyFill="1" applyBorder="1" applyAlignment="1">
      <alignment horizontal="right"/>
    </xf>
    <xf numFmtId="170" fontId="106" fillId="8" borderId="35" xfId="0" applyNumberFormat="1" applyFont="1" applyFill="1" applyBorder="1" applyAlignment="1">
      <alignment horizontal="right"/>
    </xf>
    <xf numFmtId="2" fontId="118" fillId="43" borderId="42" xfId="0" applyNumberFormat="1" applyFont="1" applyFill="1" applyBorder="1" applyAlignment="1">
      <alignment horizontal="right"/>
    </xf>
    <xf numFmtId="168" fontId="106" fillId="8" borderId="42" xfId="0" applyNumberFormat="1" applyFont="1" applyFill="1" applyBorder="1" applyAlignment="1">
      <alignment horizontal="right"/>
    </xf>
    <xf numFmtId="9" fontId="106" fillId="8" borderId="32" xfId="0" applyNumberFormat="1" applyFont="1" applyFill="1" applyBorder="1" applyAlignment="1">
      <alignment horizontal="center"/>
    </xf>
    <xf numFmtId="6" fontId="5" fillId="0" borderId="69" xfId="0" applyNumberFormat="1" applyFont="1" applyFill="1" applyBorder="1" applyAlignment="1">
      <alignment horizontal="right"/>
    </xf>
    <xf numFmtId="168" fontId="0" fillId="0" borderId="13" xfId="0" applyNumberFormat="1" applyBorder="1" applyAlignment="1">
      <alignment horizontal="center"/>
    </xf>
    <xf numFmtId="168" fontId="0" fillId="0" borderId="42" xfId="0" applyNumberFormat="1" applyBorder="1" applyAlignment="1">
      <alignment horizontal="center"/>
    </xf>
    <xf numFmtId="168" fontId="0" fillId="0" borderId="14" xfId="0" applyNumberFormat="1" applyBorder="1" applyAlignment="1">
      <alignment horizontal="center"/>
    </xf>
    <xf numFmtId="168" fontId="0" fillId="0" borderId="20" xfId="0" applyNumberFormat="1" applyBorder="1" applyAlignment="1">
      <alignment horizontal="center"/>
    </xf>
    <xf numFmtId="168" fontId="0" fillId="0" borderId="24" xfId="42" applyNumberFormat="1" applyFont="1" applyBorder="1" applyAlignment="1">
      <alignment horizontal="center"/>
    </xf>
    <xf numFmtId="168" fontId="0" fillId="0" borderId="53" xfId="42" applyNumberFormat="1" applyFont="1" applyBorder="1" applyAlignment="1">
      <alignment horizontal="center"/>
    </xf>
    <xf numFmtId="0" fontId="103" fillId="44" borderId="10" xfId="0" applyFont="1" applyFill="1" applyBorder="1" applyAlignment="1">
      <alignment horizontal="left" vertical="center" wrapText="1"/>
    </xf>
    <xf numFmtId="0" fontId="103" fillId="44" borderId="11" xfId="0" applyFont="1" applyFill="1" applyBorder="1" applyAlignment="1">
      <alignment horizontal="center" vertical="center" wrapText="1"/>
    </xf>
    <xf numFmtId="0" fontId="103" fillId="44" borderId="12" xfId="0" applyFont="1" applyFill="1" applyBorder="1" applyAlignment="1">
      <alignment horizontal="center" vertical="center" wrapText="1"/>
    </xf>
    <xf numFmtId="0" fontId="132" fillId="0" borderId="0" xfId="0" applyFont="1" applyAlignment="1">
      <alignment horizontal="center"/>
    </xf>
    <xf numFmtId="0" fontId="0" fillId="0" borderId="0" xfId="0" applyAlignment="1">
      <alignment/>
    </xf>
    <xf numFmtId="0" fontId="0" fillId="0" borderId="0" xfId="0" applyBorder="1" applyAlignment="1">
      <alignment horizontal="center"/>
    </xf>
    <xf numFmtId="0" fontId="0" fillId="0" borderId="0" xfId="0" applyAlignment="1">
      <alignment horizontal="center"/>
    </xf>
    <xf numFmtId="0" fontId="103" fillId="0" borderId="29" xfId="0" applyFont="1" applyBorder="1" applyAlignment="1">
      <alignment/>
    </xf>
    <xf numFmtId="0" fontId="0" fillId="0" borderId="28" xfId="0" applyBorder="1" applyAlignment="1">
      <alignment horizontal="center"/>
    </xf>
    <xf numFmtId="1" fontId="0" fillId="0" borderId="28" xfId="0" applyNumberFormat="1" applyBorder="1" applyAlignment="1">
      <alignment horizontal="center"/>
    </xf>
    <xf numFmtId="0" fontId="0" fillId="0" borderId="29" xfId="0" applyBorder="1" applyAlignment="1">
      <alignment/>
    </xf>
    <xf numFmtId="0" fontId="103" fillId="0" borderId="29" xfId="0" applyFont="1" applyFill="1" applyBorder="1" applyAlignment="1">
      <alignment/>
    </xf>
    <xf numFmtId="9" fontId="0" fillId="0" borderId="28" xfId="74" applyFont="1" applyBorder="1" applyAlignment="1">
      <alignment/>
    </xf>
    <xf numFmtId="0" fontId="0" fillId="0" borderId="28" xfId="0" applyBorder="1" applyAlignment="1">
      <alignment/>
    </xf>
    <xf numFmtId="168" fontId="0" fillId="0" borderId="28" xfId="0" applyNumberFormat="1" applyBorder="1" applyAlignment="1">
      <alignment/>
    </xf>
    <xf numFmtId="170" fontId="0" fillId="0" borderId="28" xfId="0" applyNumberFormat="1" applyBorder="1" applyAlignment="1">
      <alignment/>
    </xf>
    <xf numFmtId="0" fontId="103" fillId="0" borderId="70" xfId="0" applyFont="1" applyBorder="1" applyAlignment="1">
      <alignment/>
    </xf>
    <xf numFmtId="0" fontId="0" fillId="0" borderId="16" xfId="0" applyBorder="1" applyAlignment="1">
      <alignment horizontal="center"/>
    </xf>
    <xf numFmtId="9" fontId="0" fillId="0" borderId="71" xfId="74" applyFont="1" applyBorder="1" applyAlignment="1">
      <alignment/>
    </xf>
    <xf numFmtId="0" fontId="103" fillId="0" borderId="64" xfId="0" applyFont="1" applyFill="1" applyBorder="1" applyAlignment="1">
      <alignment/>
    </xf>
    <xf numFmtId="0" fontId="0" fillId="0" borderId="31" xfId="0" applyBorder="1" applyAlignment="1">
      <alignment/>
    </xf>
    <xf numFmtId="0" fontId="103" fillId="0" borderId="72" xfId="0" applyFont="1" applyBorder="1" applyAlignment="1">
      <alignment/>
    </xf>
    <xf numFmtId="9" fontId="0" fillId="0" borderId="68" xfId="74" applyFont="1" applyBorder="1" applyAlignment="1">
      <alignment/>
    </xf>
    <xf numFmtId="0" fontId="0" fillId="0" borderId="71" xfId="0" applyBorder="1" applyAlignment="1">
      <alignment/>
    </xf>
    <xf numFmtId="3" fontId="0" fillId="0" borderId="24" xfId="42" applyNumberFormat="1" applyFont="1" applyBorder="1" applyAlignment="1">
      <alignment horizontal="center"/>
    </xf>
    <xf numFmtId="3" fontId="0" fillId="0" borderId="53" xfId="42" applyNumberFormat="1" applyFont="1" applyBorder="1" applyAlignment="1">
      <alignment horizontal="center"/>
    </xf>
    <xf numFmtId="0" fontId="0" fillId="0" borderId="28" xfId="74" applyNumberFormat="1" applyFont="1" applyBorder="1" applyAlignment="1">
      <alignment horizontal="center"/>
    </xf>
    <xf numFmtId="10" fontId="0" fillId="0" borderId="28" xfId="0" applyNumberFormat="1" applyBorder="1" applyAlignment="1">
      <alignment horizontal="center"/>
    </xf>
    <xf numFmtId="168" fontId="0" fillId="0" borderId="28" xfId="0" applyNumberFormat="1" applyBorder="1" applyAlignment="1">
      <alignment horizontal="center"/>
    </xf>
    <xf numFmtId="0" fontId="103" fillId="0" borderId="72" xfId="0" applyFont="1" applyFill="1" applyBorder="1" applyAlignment="1">
      <alignment/>
    </xf>
    <xf numFmtId="168" fontId="0" fillId="0" borderId="71" xfId="0" applyNumberFormat="1" applyBorder="1" applyAlignment="1">
      <alignment horizontal="center"/>
    </xf>
    <xf numFmtId="9" fontId="0" fillId="0" borderId="28" xfId="0" applyNumberFormat="1" applyBorder="1" applyAlignment="1">
      <alignment horizontal="center"/>
    </xf>
    <xf numFmtId="164" fontId="0" fillId="0" borderId="28" xfId="74" applyNumberFormat="1" applyFont="1" applyBorder="1" applyAlignment="1">
      <alignment horizontal="center"/>
    </xf>
    <xf numFmtId="0" fontId="103" fillId="44" borderId="19" xfId="0" applyFont="1" applyFill="1" applyBorder="1" applyAlignment="1">
      <alignment horizontal="center" vertical="center" wrapText="1"/>
    </xf>
    <xf numFmtId="0" fontId="103" fillId="44" borderId="22" xfId="0" applyFont="1" applyFill="1" applyBorder="1" applyAlignment="1">
      <alignment horizontal="center" vertical="center" wrapText="1"/>
    </xf>
    <xf numFmtId="0" fontId="103" fillId="44" borderId="25" xfId="0" applyFont="1" applyFill="1" applyBorder="1" applyAlignment="1">
      <alignment horizontal="left" vertical="center" wrapText="1"/>
    </xf>
    <xf numFmtId="0" fontId="103" fillId="0" borderId="0" xfId="0" applyFont="1" applyFill="1" applyBorder="1" applyAlignment="1">
      <alignment horizontal="left" vertical="center" wrapText="1"/>
    </xf>
    <xf numFmtId="0" fontId="103" fillId="0" borderId="0" xfId="0" applyFont="1" applyFill="1" applyBorder="1" applyAlignment="1">
      <alignment horizontal="center" vertical="center" wrapText="1"/>
    </xf>
    <xf numFmtId="0" fontId="0" fillId="0" borderId="0" xfId="0" applyFill="1" applyBorder="1" applyAlignment="1">
      <alignment vertical="center" wrapText="1"/>
    </xf>
    <xf numFmtId="0" fontId="103" fillId="0" borderId="0" xfId="0" applyFont="1" applyFill="1" applyBorder="1" applyAlignment="1">
      <alignment horizontal="left"/>
    </xf>
    <xf numFmtId="170" fontId="0" fillId="0" borderId="0" xfId="0" applyNumberFormat="1" applyFont="1" applyFill="1" applyBorder="1" applyAlignment="1">
      <alignment horizontal="center"/>
    </xf>
    <xf numFmtId="172" fontId="103" fillId="0" borderId="0" xfId="0" applyNumberFormat="1" applyFont="1" applyFill="1" applyBorder="1" applyAlignment="1">
      <alignment horizontal="left"/>
    </xf>
    <xf numFmtId="0" fontId="103" fillId="0" borderId="63" xfId="0" applyFont="1" applyFill="1" applyBorder="1" applyAlignment="1">
      <alignment/>
    </xf>
    <xf numFmtId="0" fontId="103" fillId="0" borderId="67" xfId="0" applyFont="1" applyFill="1" applyBorder="1" applyAlignment="1">
      <alignment horizontal="center"/>
    </xf>
    <xf numFmtId="0" fontId="103" fillId="0" borderId="68" xfId="0" applyFont="1" applyFill="1" applyBorder="1" applyAlignment="1">
      <alignment horizontal="center"/>
    </xf>
    <xf numFmtId="168" fontId="0" fillId="0" borderId="0" xfId="0" applyNumberFormat="1" applyBorder="1" applyAlignment="1">
      <alignment horizontal="center"/>
    </xf>
    <xf numFmtId="168" fontId="0" fillId="0" borderId="16" xfId="0" applyNumberFormat="1" applyBorder="1" applyAlignment="1">
      <alignment horizontal="center"/>
    </xf>
    <xf numFmtId="0" fontId="103" fillId="0" borderId="38" xfId="0" applyFont="1" applyBorder="1" applyAlignment="1">
      <alignment horizontal="left" wrapText="1"/>
    </xf>
    <xf numFmtId="0" fontId="103" fillId="0" borderId="38" xfId="0" applyFont="1" applyBorder="1" applyAlignment="1">
      <alignment horizontal="left" vertical="center" wrapText="1"/>
    </xf>
    <xf numFmtId="170" fontId="0" fillId="0" borderId="30" xfId="0" applyNumberFormat="1" applyFont="1" applyBorder="1" applyAlignment="1">
      <alignment horizontal="center" vertical="center"/>
    </xf>
    <xf numFmtId="170" fontId="0" fillId="0" borderId="32" xfId="0" applyNumberFormat="1" applyFont="1" applyBorder="1" applyAlignment="1">
      <alignment horizontal="center" vertical="center"/>
    </xf>
    <xf numFmtId="0" fontId="0" fillId="0" borderId="0" xfId="0" applyAlignment="1">
      <alignment vertical="center"/>
    </xf>
    <xf numFmtId="170" fontId="103" fillId="0" borderId="0" xfId="0" applyNumberFormat="1" applyFont="1" applyBorder="1" applyAlignment="1">
      <alignment horizontal="center" vertical="center"/>
    </xf>
    <xf numFmtId="0" fontId="0" fillId="0" borderId="0" xfId="0" applyBorder="1" applyAlignment="1">
      <alignment vertical="center"/>
    </xf>
    <xf numFmtId="170" fontId="103" fillId="0" borderId="30" xfId="0" applyNumberFormat="1" applyFont="1" applyBorder="1" applyAlignment="1">
      <alignment horizontal="center" vertical="center"/>
    </xf>
    <xf numFmtId="170" fontId="103" fillId="0" borderId="32" xfId="0" applyNumberFormat="1" applyFont="1" applyBorder="1" applyAlignment="1">
      <alignment horizontal="center" vertical="center"/>
    </xf>
    <xf numFmtId="0" fontId="103" fillId="0" borderId="34" xfId="0" applyFont="1" applyFill="1" applyBorder="1" applyAlignment="1">
      <alignment horizontal="left" vertical="center"/>
    </xf>
    <xf numFmtId="170" fontId="103" fillId="0" borderId="33" xfId="0" applyNumberFormat="1" applyFont="1" applyBorder="1" applyAlignment="1">
      <alignment horizontal="center" vertical="center"/>
    </xf>
    <xf numFmtId="170" fontId="103" fillId="0" borderId="35" xfId="0" applyNumberFormat="1" applyFont="1" applyBorder="1" applyAlignment="1">
      <alignment horizontal="center" vertical="center"/>
    </xf>
    <xf numFmtId="0" fontId="130" fillId="0" borderId="17" xfId="0" applyFont="1" applyBorder="1" applyAlignment="1">
      <alignment horizontal="center" vertical="center"/>
    </xf>
    <xf numFmtId="0" fontId="130" fillId="0" borderId="17" xfId="0" applyFont="1" applyBorder="1" applyAlignment="1">
      <alignment horizontal="center"/>
    </xf>
    <xf numFmtId="0" fontId="130" fillId="0" borderId="0" xfId="0" applyFont="1" applyFill="1" applyBorder="1" applyAlignment="1">
      <alignment horizontal="center"/>
    </xf>
    <xf numFmtId="164" fontId="106" fillId="0" borderId="64" xfId="74" applyNumberFormat="1" applyFont="1" applyFill="1" applyBorder="1" applyAlignment="1">
      <alignment horizontal="center"/>
    </xf>
    <xf numFmtId="164" fontId="106" fillId="0" borderId="63" xfId="74" applyNumberFormat="1" applyFont="1" applyFill="1" applyBorder="1" applyAlignment="1">
      <alignment horizontal="center"/>
    </xf>
    <xf numFmtId="164" fontId="106" fillId="0" borderId="31" xfId="74" applyNumberFormat="1" applyFont="1" applyFill="1" applyBorder="1" applyAlignment="1">
      <alignment horizontal="center"/>
    </xf>
    <xf numFmtId="164" fontId="106" fillId="0" borderId="65" xfId="74" applyNumberFormat="1" applyFont="1" applyFill="1" applyBorder="1" applyAlignment="1">
      <alignment horizontal="center"/>
    </xf>
    <xf numFmtId="164" fontId="106" fillId="0" borderId="54" xfId="74" applyNumberFormat="1" applyFont="1" applyFill="1" applyBorder="1" applyAlignment="1">
      <alignment horizontal="center"/>
    </xf>
    <xf numFmtId="164" fontId="106" fillId="0" borderId="48" xfId="74" applyNumberFormat="1" applyFont="1" applyFill="1" applyBorder="1" applyAlignment="1">
      <alignment horizontal="center"/>
    </xf>
    <xf numFmtId="0" fontId="2" fillId="0" borderId="60" xfId="0" applyFont="1" applyFill="1" applyBorder="1" applyAlignment="1">
      <alignment horizontal="center"/>
    </xf>
    <xf numFmtId="0" fontId="2" fillId="0" borderId="11" xfId="0" applyFont="1" applyFill="1" applyBorder="1" applyAlignment="1">
      <alignment horizontal="center"/>
    </xf>
    <xf numFmtId="0" fontId="2" fillId="0" borderId="73" xfId="0" applyFont="1" applyFill="1" applyBorder="1" applyAlignment="1">
      <alignment horizontal="center"/>
    </xf>
    <xf numFmtId="0" fontId="133" fillId="0" borderId="17" xfId="0" applyFont="1" applyFill="1" applyBorder="1" applyAlignment="1">
      <alignment horizontal="center"/>
    </xf>
    <xf numFmtId="0" fontId="6" fillId="33" borderId="11" xfId="0" applyFont="1" applyFill="1" applyBorder="1" applyAlignment="1">
      <alignment horizontal="center" vertical="center"/>
    </xf>
    <xf numFmtId="0" fontId="16" fillId="0" borderId="60" xfId="0" applyFont="1" applyFill="1" applyBorder="1" applyAlignment="1">
      <alignment horizontal="center"/>
    </xf>
    <xf numFmtId="0" fontId="16" fillId="0" borderId="11" xfId="0" applyFont="1" applyFill="1" applyBorder="1" applyAlignment="1">
      <alignment horizontal="center"/>
    </xf>
    <xf numFmtId="0" fontId="16" fillId="0" borderId="73" xfId="0" applyFont="1" applyFill="1" applyBorder="1" applyAlignment="1">
      <alignment horizontal="center"/>
    </xf>
    <xf numFmtId="164" fontId="106" fillId="0" borderId="60" xfId="74" applyNumberFormat="1" applyFont="1" applyFill="1" applyBorder="1" applyAlignment="1">
      <alignment horizontal="center"/>
    </xf>
    <xf numFmtId="164" fontId="106" fillId="0" borderId="11" xfId="74" applyNumberFormat="1" applyFont="1" applyFill="1" applyBorder="1" applyAlignment="1">
      <alignment horizontal="center"/>
    </xf>
    <xf numFmtId="164" fontId="106" fillId="0" borderId="73" xfId="74" applyNumberFormat="1" applyFont="1" applyFill="1" applyBorder="1" applyAlignment="1">
      <alignment horizontal="center"/>
    </xf>
    <xf numFmtId="164" fontId="106" fillId="0" borderId="66" xfId="74" applyNumberFormat="1" applyFont="1" applyFill="1" applyBorder="1" applyAlignment="1">
      <alignment horizontal="center"/>
    </xf>
    <xf numFmtId="164" fontId="106" fillId="0" borderId="57" xfId="74" applyNumberFormat="1" applyFont="1" applyFill="1" applyBorder="1" applyAlignment="1">
      <alignment horizontal="center"/>
    </xf>
    <xf numFmtId="164" fontId="106" fillId="0" borderId="74" xfId="74" applyNumberFormat="1" applyFont="1" applyFill="1" applyBorder="1" applyAlignment="1">
      <alignment horizontal="center"/>
    </xf>
    <xf numFmtId="0" fontId="0" fillId="0" borderId="0" xfId="0" applyBorder="1" applyAlignment="1">
      <alignment horizontal="center"/>
    </xf>
    <xf numFmtId="0" fontId="2" fillId="37" borderId="0" xfId="0" applyNumberFormat="1" applyFont="1" applyFill="1" applyAlignment="1">
      <alignment horizontal="center"/>
    </xf>
    <xf numFmtId="0" fontId="2" fillId="41" borderId="10" xfId="0" applyNumberFormat="1" applyFont="1" applyFill="1" applyBorder="1" applyAlignment="1">
      <alignment horizontal="left" vertical="center" wrapText="1"/>
    </xf>
    <xf numFmtId="0" fontId="2" fillId="41" borderId="12" xfId="0" applyNumberFormat="1" applyFont="1" applyFill="1" applyBorder="1" applyAlignment="1">
      <alignment horizontal="left" vertical="center" wrapText="1"/>
    </xf>
    <xf numFmtId="178" fontId="2" fillId="41" borderId="10" xfId="0" applyNumberFormat="1" applyFont="1" applyFill="1" applyBorder="1" applyAlignment="1">
      <alignment horizontal="left"/>
    </xf>
    <xf numFmtId="178" fontId="2" fillId="41" borderId="12" xfId="0" applyNumberFormat="1" applyFont="1" applyFill="1" applyBorder="1" applyAlignment="1">
      <alignment horizontal="left"/>
    </xf>
    <xf numFmtId="0" fontId="85" fillId="0" borderId="0" xfId="0" applyFont="1" applyBorder="1" applyAlignment="1">
      <alignment horizontal="center" vertical="center" textRotation="90" wrapText="1"/>
    </xf>
    <xf numFmtId="0" fontId="132" fillId="0" borderId="0" xfId="0" applyFont="1" applyAlignment="1">
      <alignment horizontal="center" wrapText="1"/>
    </xf>
    <xf numFmtId="0" fontId="132" fillId="0" borderId="0" xfId="0" applyFont="1" applyAlignment="1">
      <alignment horizontal="center"/>
    </xf>
    <xf numFmtId="0" fontId="0" fillId="0" borderId="0" xfId="0" applyAlignment="1">
      <alignment horizontal="center"/>
    </xf>
    <xf numFmtId="0" fontId="103" fillId="0" borderId="0" xfId="0" applyFont="1" applyBorder="1" applyAlignment="1">
      <alignment horizontal="right"/>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4" xfId="47"/>
    <cellStyle name="Comma 5" xfId="48"/>
    <cellStyle name="Comma 5 2" xfId="49"/>
    <cellStyle name="Currency" xfId="50"/>
    <cellStyle name="Currency [0]" xfId="51"/>
    <cellStyle name="Explanatory Text" xfId="52"/>
    <cellStyle name="Good" xfId="53"/>
    <cellStyle name="Heading 1" xfId="54"/>
    <cellStyle name="Heading 2" xfId="55"/>
    <cellStyle name="Heading 3" xfId="56"/>
    <cellStyle name="Heading 4" xfId="57"/>
    <cellStyle name="Hyperlink" xfId="58"/>
    <cellStyle name="Hyperlink 2" xfId="59"/>
    <cellStyle name="Input" xfId="60"/>
    <cellStyle name="Linked Cell" xfId="61"/>
    <cellStyle name="Neutral" xfId="62"/>
    <cellStyle name="Normal 2" xfId="63"/>
    <cellStyle name="Normal 3" xfId="64"/>
    <cellStyle name="Normal 4" xfId="65"/>
    <cellStyle name="Normal 4 2" xfId="66"/>
    <cellStyle name="Normal 5" xfId="67"/>
    <cellStyle name="Normal 6" xfId="68"/>
    <cellStyle name="Normal 7" xfId="69"/>
    <cellStyle name="Normal 7 2" xfId="70"/>
    <cellStyle name="Normal 8" xfId="71"/>
    <cellStyle name="Note" xfId="72"/>
    <cellStyle name="Output" xfId="73"/>
    <cellStyle name="Percent" xfId="74"/>
    <cellStyle name="Percent 2" xfId="75"/>
    <cellStyle name="Percent 3" xfId="76"/>
    <cellStyle name="Title" xfId="77"/>
    <cellStyle name="Total" xfId="78"/>
    <cellStyle name="Warning Text" xfId="79"/>
  </cellStyles>
  <dxfs count="147">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patternType="none">
          <bgColor indexed="65"/>
        </patternFill>
      </fill>
    </dxf>
    <dxf>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ont>
        <color rgb="FF0070C0"/>
      </font>
      <fill>
        <patternFill>
          <bgColor theme="0"/>
        </patternFill>
      </fill>
    </dxf>
    <dxf>
      <font>
        <color rgb="FF0070C0"/>
      </font>
      <fill>
        <patternFill>
          <bgColor theme="0"/>
        </patternFill>
      </fill>
    </dxf>
    <dxf>
      <fill>
        <patternFill patternType="none">
          <bgColor indexed="65"/>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patternType="none">
          <bgColor indexed="65"/>
        </patternFill>
      </fill>
    </dxf>
    <dxf>
      <fill>
        <patternFill>
          <bgColor rgb="FFFFFF00"/>
        </patternFill>
      </fill>
    </dxf>
    <dxf>
      <fill>
        <patternFill>
          <bgColor rgb="FFFFFF00"/>
        </patternFill>
      </fill>
    </dxf>
    <dxf>
      <fill>
        <patternFill>
          <bgColor rgb="FFFFFF00"/>
        </patternFill>
      </fill>
    </dxf>
    <dxf>
      <font>
        <color theme="0" tint="-0.149959996342659"/>
      </font>
      <fill>
        <patternFill>
          <bgColor theme="0" tint="-0.149959996342659"/>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indexed="65"/>
        </patternFill>
      </fill>
    </dxf>
    <dxf>
      <fill>
        <patternFill>
          <bgColor rgb="FF00B050"/>
        </patternFill>
      </fill>
    </dxf>
    <dxf>
      <fill>
        <patternFill patternType="none">
          <bgColor indexed="65"/>
        </patternFill>
      </fill>
    </dxf>
    <dxf>
      <fill>
        <patternFill>
          <bgColor rgb="FFFF0000"/>
        </patternFill>
      </fill>
    </dxf>
    <dxf>
      <fill>
        <patternFill patternType="none">
          <bgColor indexed="65"/>
        </patternFill>
      </fill>
    </dxf>
    <dxf>
      <fill>
        <patternFill>
          <bgColor rgb="FF00B050"/>
        </patternFill>
      </fill>
    </dxf>
    <dxf>
      <fill>
        <patternFill>
          <bgColor rgb="FFFF0000"/>
        </patternFill>
      </fill>
    </dxf>
    <dxf>
      <fill>
        <patternFill>
          <bgColor rgb="FFFF0000"/>
        </patternFill>
      </fill>
    </dxf>
    <dxf>
      <fill>
        <patternFill>
          <bgColor rgb="FFFF0000"/>
        </patternFill>
      </fill>
    </dxf>
    <dxf>
      <font>
        <color theme="0" tint="-0.149959996342659"/>
      </font>
      <fill>
        <patternFill>
          <bgColor theme="0" tint="-0.149959996342659"/>
        </patternFill>
      </fill>
    </dxf>
    <dxf>
      <fill>
        <patternFill>
          <bgColor rgb="FFFF0000"/>
        </patternFill>
      </fill>
    </dxf>
    <dxf>
      <fill>
        <patternFill>
          <bgColor rgb="FFFF0000"/>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3" tint="0.3999499976634979"/>
      </font>
      <fill>
        <patternFill>
          <bgColor rgb="FFFFFF99"/>
        </patternFill>
      </fill>
    </dxf>
    <dxf>
      <font>
        <color auto="1"/>
      </font>
      <fill>
        <patternFill patternType="none">
          <bgColor indexed="65"/>
        </patternFill>
      </fill>
    </dxf>
    <dxf>
      <fill>
        <patternFill patternType="none">
          <bgColor indexed="65"/>
        </patternFill>
      </fill>
    </dxf>
    <dxf>
      <font>
        <color theme="3" tint="0.3999499976634979"/>
      </font>
      <fill>
        <patternFill patternType="none">
          <bgColor indexed="65"/>
        </patternFill>
      </fill>
    </dxf>
    <dxf>
      <font>
        <color theme="3" tint="0.3999499976634979"/>
      </font>
      <fill>
        <patternFill patternType="none">
          <bgColor indexed="65"/>
        </patternFill>
      </fill>
    </dxf>
    <dxf>
      <font>
        <color theme="4"/>
      </font>
      <fill>
        <patternFill patternType="none">
          <bgColor indexed="65"/>
        </patternFill>
      </fill>
    </dxf>
    <dxf>
      <font>
        <color auto="1"/>
      </font>
      <fill>
        <patternFill patternType="none">
          <bgColor indexed="65"/>
        </patternFill>
      </fill>
    </dxf>
    <dxf>
      <font>
        <color auto="1"/>
      </font>
      <fill>
        <patternFill patternType="none">
          <bgColor indexed="65"/>
        </patternFill>
      </fill>
    </dxf>
    <dxf>
      <font>
        <color theme="0" tint="-0.149959996342659"/>
      </font>
      <fill>
        <patternFill>
          <bgColor theme="0" tint="-0.149959996342659"/>
        </patternFill>
      </fill>
    </dxf>
    <dxf>
      <font>
        <color theme="3" tint="0.3999499976634979"/>
      </font>
      <fill>
        <patternFill patternType="none">
          <bgColor indexed="65"/>
        </patternFill>
      </fill>
    </dxf>
    <dxf>
      <font>
        <color auto="1"/>
      </font>
      <fill>
        <patternFill patternType="none">
          <bgColor indexed="65"/>
        </patternFill>
      </fill>
    </dxf>
    <dxf>
      <font>
        <color theme="3" tint="0.3999499976634979"/>
      </font>
      <fill>
        <patternFill patternType="none">
          <bgColor indexed="65"/>
        </patternFill>
      </fill>
    </dxf>
    <dxf>
      <font>
        <b/>
        <i val="0"/>
        <color rgb="FFFFFF00"/>
      </font>
      <fill>
        <patternFill>
          <bgColor rgb="FFFF0000"/>
        </patternFill>
      </fill>
    </dxf>
    <dxf>
      <font>
        <color theme="0" tint="-0.149959996342659"/>
      </font>
      <fill>
        <patternFill>
          <bgColor theme="0" tint="-0.149959996342659"/>
        </patternFill>
      </fill>
    </dxf>
    <dxf>
      <font>
        <color theme="0" tint="-0.149959996342659"/>
      </font>
      <fill>
        <patternFill>
          <bgColor theme="0" tint="-0.149959996342659"/>
        </patternFill>
      </fill>
    </dxf>
    <dxf>
      <font>
        <b/>
        <i val="0"/>
        <color rgb="FFFFFF00"/>
      </font>
      <fill>
        <patternFill>
          <bgColor rgb="FFFF0000"/>
        </patternFill>
      </fill>
    </dxf>
    <dxf>
      <fill>
        <patternFill>
          <bgColor rgb="FF00B050"/>
        </patternFill>
      </fill>
    </dxf>
    <dxf>
      <fill>
        <patternFill>
          <bgColor rgb="FF00B050"/>
        </patternFill>
      </fill>
    </dxf>
    <dxf>
      <fill>
        <patternFill>
          <bgColor rgb="FF00B050"/>
        </patternFill>
      </fill>
    </dxf>
    <dxf>
      <fill>
        <patternFill>
          <bgColor rgb="FFFF0000"/>
        </patternFill>
      </fill>
    </dxf>
    <dxf>
      <fill>
        <patternFill>
          <bgColor rgb="FF00B050"/>
        </patternFill>
      </fill>
    </dxf>
    <dxf>
      <font>
        <color theme="0" tint="-0.149959996342659"/>
      </font>
      <fill>
        <patternFill>
          <bgColor theme="0" tint="-0.149959996342659"/>
        </patternFill>
      </fill>
    </dxf>
    <dxf>
      <fill>
        <patternFill>
          <bgColor rgb="FF00B050"/>
        </patternFill>
      </fill>
    </dxf>
    <dxf>
      <fill>
        <patternFill>
          <bgColor rgb="FF00B05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patternType="none">
          <bgColor indexed="65"/>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00B050"/>
        </patternFill>
      </fill>
    </dxf>
    <dxf>
      <fill>
        <patternFill>
          <bgColor rgb="FF00B050"/>
        </patternFill>
      </fill>
    </dxf>
    <dxf>
      <font>
        <color theme="0" tint="-0.149959996342659"/>
      </font>
      <fill>
        <patternFill>
          <bgColor theme="0" tint="-0.149959996342659"/>
        </patternFill>
      </fill>
      <border/>
    </dxf>
    <dxf>
      <font>
        <b/>
        <i val="0"/>
        <color rgb="FFFFFF00"/>
      </font>
      <fill>
        <patternFill>
          <bgColor rgb="FFFF0000"/>
        </patternFill>
      </fill>
      <border/>
    </dxf>
    <dxf>
      <font>
        <color theme="3" tint="0.3999499976634979"/>
      </font>
      <fill>
        <patternFill patternType="none">
          <bgColor indexed="65"/>
        </patternFill>
      </fill>
      <border/>
    </dxf>
    <dxf>
      <font>
        <color auto="1"/>
      </font>
      <fill>
        <patternFill patternType="none">
          <bgColor indexed="65"/>
        </patternFill>
      </fill>
      <border/>
    </dxf>
    <dxf>
      <font>
        <color theme="4"/>
      </font>
      <fill>
        <patternFill patternType="none">
          <bgColor indexed="65"/>
        </patternFill>
      </fill>
      <border/>
    </dxf>
    <dxf>
      <font>
        <color theme="3" tint="0.3999499976634979"/>
      </font>
      <fill>
        <patternFill>
          <bgColor rgb="FFFFFF99"/>
        </patternFill>
      </fill>
      <border/>
    </dxf>
    <dxf>
      <font>
        <color rgb="FFFF0000"/>
      </font>
      <fill>
        <patternFill patternType="none">
          <bgColor indexed="65"/>
        </patternFill>
      </fill>
      <border/>
    </dxf>
    <dxf>
      <font>
        <color rgb="FF0070C0"/>
      </font>
      <fill>
        <patternFill>
          <bgColor theme="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M42"/>
  <sheetViews>
    <sheetView showGridLines="0" tabSelected="1" zoomScalePageLayoutView="0" workbookViewId="0" topLeftCell="A1">
      <selection activeCell="B25" sqref="B25"/>
    </sheetView>
  </sheetViews>
  <sheetFormatPr defaultColWidth="9.140625" defaultRowHeight="15"/>
  <cols>
    <col min="1" max="1" width="4.00390625" style="0" customWidth="1"/>
    <col min="2" max="2" width="43.57421875" style="0" customWidth="1"/>
    <col min="3" max="3" width="16.00390625" style="0" customWidth="1"/>
    <col min="4" max="4" width="17.421875" style="0" customWidth="1"/>
    <col min="5" max="5" width="4.00390625" style="0" customWidth="1"/>
    <col min="6" max="6" width="34.140625" style="0" customWidth="1"/>
    <col min="7" max="7" width="19.421875" style="0" customWidth="1"/>
    <col min="8" max="8" width="18.57421875" style="0" customWidth="1"/>
    <col min="9" max="9" width="4.00390625" style="0" customWidth="1"/>
    <col min="10" max="10" width="34.00390625" style="0" customWidth="1"/>
    <col min="11" max="11" width="21.140625" style="0" customWidth="1"/>
    <col min="12" max="12" width="19.140625" style="0" customWidth="1"/>
  </cols>
  <sheetData>
    <row r="1" ht="16.5" customHeight="1" thickBot="1">
      <c r="F1" s="516"/>
    </row>
    <row r="2" spans="2:4" ht="19.5" thickBot="1">
      <c r="B2" s="548" t="s">
        <v>345</v>
      </c>
      <c r="C2" s="533" t="s">
        <v>363</v>
      </c>
      <c r="D2" s="534" t="s">
        <v>322</v>
      </c>
    </row>
    <row r="3" spans="1:8" ht="15.75">
      <c r="A3" s="494"/>
      <c r="B3" s="532" t="s">
        <v>341</v>
      </c>
      <c r="C3" s="556">
        <f>NPV('Input Assumptions'!$D$9,'Cash Flow'!$G$23:$AE$23)</f>
        <v>3998892.8669675034</v>
      </c>
      <c r="D3" s="557">
        <f>NPV('Input Assumptions'!$D$9,'Cash Flow'!$G$23:$AE$23)</f>
        <v>3998892.8669675034</v>
      </c>
      <c r="G3" s="491"/>
      <c r="H3" s="491"/>
    </row>
    <row r="4" spans="1:4" ht="15.75">
      <c r="A4" s="495"/>
      <c r="B4" s="528" t="s">
        <v>342</v>
      </c>
      <c r="C4" s="558">
        <f>NPV('Input Assumptions'!$D$9,'Net Metering Credit'!$C$17:$AA$17)*'Input Assumptions'!$D$19</f>
        <v>596087.7782146413</v>
      </c>
      <c r="D4" s="559">
        <f>NPV('Input Assumptions'!$D$9,'Net Metering Credit'!$C$16:$AA$16)*'Input Assumptions'!$D$19</f>
        <v>731325.4359204811</v>
      </c>
    </row>
    <row r="5" spans="1:4" ht="15.75">
      <c r="A5" s="495"/>
      <c r="B5" s="526" t="s">
        <v>336</v>
      </c>
      <c r="C5" s="560">
        <f>C3-C4</f>
        <v>3402805.088752862</v>
      </c>
      <c r="D5" s="561">
        <f>D3-D4</f>
        <v>3267567.4310470223</v>
      </c>
    </row>
    <row r="6" spans="1:4" ht="15.75">
      <c r="A6" s="495"/>
      <c r="B6" s="528" t="s">
        <v>337</v>
      </c>
      <c r="C6" s="586">
        <f>SUM('Cash Flow'!G5:U5)/1000</f>
        <v>52451.65554051968</v>
      </c>
      <c r="D6" s="587">
        <f>SUM('Cash Flow'!G5:U5)/1000</f>
        <v>52451.65554051968</v>
      </c>
    </row>
    <row r="7" spans="1:4" ht="16.5" thickBot="1">
      <c r="A7" s="496"/>
      <c r="B7" s="529" t="s">
        <v>346</v>
      </c>
      <c r="C7" s="531">
        <f>C5/C6</f>
        <v>64.87507503217215</v>
      </c>
      <c r="D7" s="530">
        <f>D5/D6</f>
        <v>62.29674540058661</v>
      </c>
    </row>
    <row r="8" spans="1:4" ht="15.75">
      <c r="A8" s="496"/>
      <c r="B8" s="502"/>
      <c r="C8" s="500"/>
      <c r="D8" s="500"/>
    </row>
    <row r="9" spans="2:5" ht="17.25" customHeight="1">
      <c r="B9" s="502"/>
      <c r="C9" s="512"/>
      <c r="D9" s="512"/>
      <c r="E9" s="499"/>
    </row>
    <row r="10" spans="2:12" ht="17.25" customHeight="1" thickBot="1">
      <c r="B10" s="14"/>
      <c r="C10" s="521"/>
      <c r="D10" s="14"/>
      <c r="E10" s="499"/>
      <c r="F10" s="623"/>
      <c r="G10" s="623"/>
      <c r="H10" s="623"/>
      <c r="I10" s="25"/>
      <c r="J10" s="623"/>
      <c r="K10" s="623"/>
      <c r="L10" s="623"/>
    </row>
    <row r="11" spans="2:12" ht="31.5" customHeight="1" thickBot="1">
      <c r="B11" s="544" t="s">
        <v>343</v>
      </c>
      <c r="C11" s="545" t="s">
        <v>362</v>
      </c>
      <c r="D11" s="546" t="s">
        <v>344</v>
      </c>
      <c r="E11" s="547"/>
      <c r="F11" s="598"/>
      <c r="G11" s="599"/>
      <c r="H11" s="599"/>
      <c r="I11" s="600"/>
      <c r="J11" s="598"/>
      <c r="K11" s="599"/>
      <c r="L11" s="599"/>
    </row>
    <row r="12" spans="2:12" ht="30.75" customHeight="1" thickBot="1">
      <c r="B12" s="609" t="s">
        <v>375</v>
      </c>
      <c r="C12" s="616">
        <f>$C$7</f>
        <v>64.87507503217215</v>
      </c>
      <c r="D12" s="617">
        <f>$D$7</f>
        <v>62.29674540058661</v>
      </c>
      <c r="F12" s="601"/>
      <c r="G12" s="602"/>
      <c r="H12" s="602"/>
      <c r="I12" s="25"/>
      <c r="J12" s="603"/>
      <c r="K12" s="602"/>
      <c r="L12" s="602"/>
    </row>
    <row r="13" ht="15">
      <c r="D13" s="499"/>
    </row>
    <row r="14" spans="3:4" ht="15">
      <c r="C14" s="517"/>
      <c r="D14" s="517"/>
    </row>
    <row r="15" spans="3:4" ht="15">
      <c r="C15" s="517"/>
      <c r="D15" s="517"/>
    </row>
    <row r="16" spans="2:12" ht="19.5" thickBot="1">
      <c r="B16" s="622" t="s">
        <v>358</v>
      </c>
      <c r="C16" s="622"/>
      <c r="D16" s="622"/>
      <c r="F16" s="622" t="s">
        <v>366</v>
      </c>
      <c r="G16" s="622"/>
      <c r="H16" s="622"/>
      <c r="J16" s="622" t="s">
        <v>367</v>
      </c>
      <c r="K16" s="622"/>
      <c r="L16" s="622"/>
    </row>
    <row r="17" spans="2:12" ht="30.75" thickBot="1">
      <c r="B17" s="562" t="s">
        <v>359</v>
      </c>
      <c r="C17" s="563" t="s">
        <v>372</v>
      </c>
      <c r="D17" s="564" t="s">
        <v>360</v>
      </c>
      <c r="F17" s="562" t="s">
        <v>343</v>
      </c>
      <c r="G17" s="563" t="s">
        <v>362</v>
      </c>
      <c r="H17" s="564" t="s">
        <v>344</v>
      </c>
      <c r="J17" s="562" t="s">
        <v>343</v>
      </c>
      <c r="K17" s="563" t="s">
        <v>362</v>
      </c>
      <c r="L17" s="564" t="s">
        <v>344</v>
      </c>
    </row>
    <row r="18" spans="2:12" ht="30.75" thickBot="1">
      <c r="B18" s="618" t="s">
        <v>369</v>
      </c>
      <c r="C18" s="619">
        <v>0</v>
      </c>
      <c r="D18" s="620">
        <v>0</v>
      </c>
      <c r="F18" s="610" t="s">
        <v>375</v>
      </c>
      <c r="G18" s="611">
        <f>C12+$C$18</f>
        <v>64.87507503217215</v>
      </c>
      <c r="H18" s="612">
        <f>$D$18+D12</f>
        <v>62.29674540058661</v>
      </c>
      <c r="I18" s="613"/>
      <c r="J18" s="610" t="s">
        <v>375</v>
      </c>
      <c r="K18" s="611">
        <f>C12+$C$19</f>
        <v>76.04507503217215</v>
      </c>
      <c r="L18" s="612">
        <f>D12+$D$19</f>
        <v>73.17674540058661</v>
      </c>
    </row>
    <row r="19" spans="2:12" ht="15">
      <c r="B19" s="503" t="s">
        <v>370</v>
      </c>
      <c r="C19" s="504">
        <v>11.17</v>
      </c>
      <c r="D19" s="505">
        <v>10.88</v>
      </c>
      <c r="F19" s="614"/>
      <c r="G19" s="614"/>
      <c r="H19" s="613"/>
      <c r="I19" s="613"/>
      <c r="J19" s="614"/>
      <c r="K19" s="614"/>
      <c r="L19" s="613"/>
    </row>
    <row r="20" spans="2:12" ht="15">
      <c r="B20" s="503" t="s">
        <v>371</v>
      </c>
      <c r="C20" s="504">
        <v>22.34</v>
      </c>
      <c r="D20" s="505">
        <v>21.77</v>
      </c>
      <c r="F20" s="615"/>
      <c r="G20" s="615"/>
      <c r="H20" s="613"/>
      <c r="I20" s="613"/>
      <c r="J20" s="613"/>
      <c r="K20" s="613"/>
      <c r="L20" s="613"/>
    </row>
    <row r="21" spans="2:12" ht="19.5" thickBot="1">
      <c r="B21" s="529" t="s">
        <v>361</v>
      </c>
      <c r="C21" s="531">
        <v>33.51</v>
      </c>
      <c r="D21" s="530">
        <v>32.65</v>
      </c>
      <c r="F21" s="621" t="s">
        <v>368</v>
      </c>
      <c r="G21" s="621"/>
      <c r="H21" s="621"/>
      <c r="I21" s="613"/>
      <c r="J21" s="621" t="s">
        <v>357</v>
      </c>
      <c r="K21" s="621"/>
      <c r="L21" s="621"/>
    </row>
    <row r="22" spans="6:12" ht="30.75" thickBot="1">
      <c r="F22" s="562" t="s">
        <v>343</v>
      </c>
      <c r="G22" s="563" t="s">
        <v>362</v>
      </c>
      <c r="H22" s="564" t="s">
        <v>344</v>
      </c>
      <c r="I22" s="613"/>
      <c r="J22" s="597" t="s">
        <v>343</v>
      </c>
      <c r="K22" s="595" t="s">
        <v>362</v>
      </c>
      <c r="L22" s="596" t="s">
        <v>344</v>
      </c>
    </row>
    <row r="23" spans="6:12" ht="30.75" thickBot="1">
      <c r="F23" s="610" t="s">
        <v>375</v>
      </c>
      <c r="G23" s="611">
        <f>C12+$C$20</f>
        <v>87.21507503217215</v>
      </c>
      <c r="H23" s="612">
        <f>D12+$D$20</f>
        <v>84.06674540058661</v>
      </c>
      <c r="I23" s="613"/>
      <c r="J23" s="610" t="s">
        <v>375</v>
      </c>
      <c r="K23" s="611">
        <f>C12+$C$21</f>
        <v>98.38507503217215</v>
      </c>
      <c r="L23" s="612">
        <f>D12+$D$21</f>
        <v>94.94674540058661</v>
      </c>
    </row>
    <row r="24" spans="6:12" ht="15">
      <c r="F24" s="14"/>
      <c r="G24" s="14"/>
      <c r="H24" s="14"/>
      <c r="J24" s="518"/>
      <c r="K24" s="518"/>
      <c r="L24" s="14"/>
    </row>
    <row r="25" spans="6:12" ht="15">
      <c r="F25" s="14"/>
      <c r="G25" s="14"/>
      <c r="H25" s="14"/>
      <c r="J25" s="518"/>
      <c r="K25" s="518"/>
      <c r="L25" s="14"/>
    </row>
    <row r="26" spans="6:12" ht="18.75">
      <c r="F26" s="14"/>
      <c r="G26" s="14"/>
      <c r="H26" s="14"/>
      <c r="I26" s="540"/>
      <c r="J26" s="14"/>
      <c r="K26" s="14"/>
      <c r="L26" s="14"/>
    </row>
    <row r="27" spans="6:12" ht="15">
      <c r="F27" s="14"/>
      <c r="G27" s="14"/>
      <c r="H27" s="14"/>
      <c r="J27" s="14"/>
      <c r="K27" s="14"/>
      <c r="L27" s="14"/>
    </row>
    <row r="28" spans="6:12" ht="15">
      <c r="F28" s="14"/>
      <c r="G28" s="14"/>
      <c r="H28" s="14"/>
      <c r="J28" s="14"/>
      <c r="K28" s="14"/>
      <c r="L28" s="14"/>
    </row>
    <row r="29" spans="6:12" ht="15">
      <c r="F29" s="14"/>
      <c r="G29" s="14"/>
      <c r="H29" s="14"/>
      <c r="I29" s="14"/>
      <c r="J29" s="14"/>
      <c r="K29" s="14"/>
      <c r="L29" s="14"/>
    </row>
    <row r="30" spans="1:13" ht="15">
      <c r="A30" s="14"/>
      <c r="F30" s="14"/>
      <c r="G30" s="14"/>
      <c r="H30" s="14"/>
      <c r="I30" s="502"/>
      <c r="J30" s="14"/>
      <c r="K30" s="14"/>
      <c r="L30" s="14"/>
      <c r="M30" s="14"/>
    </row>
    <row r="31" spans="1:13" ht="15">
      <c r="A31" s="14"/>
      <c r="E31" s="14"/>
      <c r="F31" s="14"/>
      <c r="G31" s="14"/>
      <c r="H31" s="14"/>
      <c r="I31" s="502"/>
      <c r="J31" s="14"/>
      <c r="K31" s="14"/>
      <c r="M31" s="14"/>
    </row>
    <row r="32" spans="1:13" ht="15">
      <c r="A32" s="14"/>
      <c r="E32" s="14"/>
      <c r="F32" s="14"/>
      <c r="G32" s="14"/>
      <c r="H32" s="14"/>
      <c r="I32" s="502"/>
      <c r="M32" s="14"/>
    </row>
    <row r="33" spans="1:13" ht="15">
      <c r="A33" s="14"/>
      <c r="B33" s="502"/>
      <c r="C33" s="518"/>
      <c r="D33" s="518"/>
      <c r="E33" s="14"/>
      <c r="I33" s="502"/>
      <c r="M33" s="14"/>
    </row>
    <row r="34" spans="1:13" ht="15">
      <c r="A34" s="14"/>
      <c r="B34" s="502">
        <v>9</v>
      </c>
      <c r="C34" s="518"/>
      <c r="D34" s="518"/>
      <c r="E34" s="14"/>
      <c r="I34" s="502"/>
      <c r="M34" s="14"/>
    </row>
    <row r="35" spans="1:13" ht="15">
      <c r="A35" s="14"/>
      <c r="B35" s="502"/>
      <c r="C35" s="518"/>
      <c r="D35" s="518"/>
      <c r="E35" s="14"/>
      <c r="I35" s="14"/>
      <c r="M35" s="14"/>
    </row>
    <row r="36" spans="1:13" ht="15">
      <c r="A36" s="14"/>
      <c r="B36" s="14"/>
      <c r="C36" s="14"/>
      <c r="D36" s="14"/>
      <c r="E36" s="14"/>
      <c r="I36" s="14"/>
      <c r="M36" s="14"/>
    </row>
    <row r="37" spans="1:13" ht="15">
      <c r="A37" s="14"/>
      <c r="B37" s="14"/>
      <c r="C37" s="14"/>
      <c r="D37" s="14"/>
      <c r="E37" s="14"/>
      <c r="I37" s="14"/>
      <c r="M37" s="14"/>
    </row>
    <row r="38" spans="1:13" ht="15">
      <c r="A38" s="14"/>
      <c r="B38" s="14"/>
      <c r="C38" s="14"/>
      <c r="D38" s="14"/>
      <c r="E38" s="14"/>
      <c r="I38" s="14"/>
      <c r="M38" s="14"/>
    </row>
    <row r="39" spans="1:13" ht="15">
      <c r="A39" s="14"/>
      <c r="B39" s="14"/>
      <c r="C39" s="14"/>
      <c r="D39" s="14"/>
      <c r="E39" s="14"/>
      <c r="I39" s="14"/>
      <c r="M39" s="14"/>
    </row>
    <row r="40" spans="1:13" ht="15">
      <c r="A40" s="14"/>
      <c r="B40" s="14"/>
      <c r="C40" s="14"/>
      <c r="D40" s="14"/>
      <c r="E40" s="14"/>
      <c r="I40" s="14"/>
      <c r="M40" s="14"/>
    </row>
    <row r="41" spans="1:13" ht="15">
      <c r="A41" s="14"/>
      <c r="B41" s="14"/>
      <c r="C41" s="14"/>
      <c r="D41" s="14"/>
      <c r="E41" s="14"/>
      <c r="M41" s="14"/>
    </row>
    <row r="42" ht="15">
      <c r="E42" s="14"/>
    </row>
  </sheetData>
  <sheetProtection/>
  <mergeCells count="7">
    <mergeCell ref="F21:H21"/>
    <mergeCell ref="J21:L21"/>
    <mergeCell ref="B16:D16"/>
    <mergeCell ref="F10:H10"/>
    <mergeCell ref="J10:L10"/>
    <mergeCell ref="F16:H16"/>
    <mergeCell ref="J16:L16"/>
  </mergeCells>
  <printOptions/>
  <pageMargins left="0.7" right="0.7" top="0.75" bottom="0.75" header="0.3" footer="0.3"/>
  <pageSetup fitToHeight="1" fitToWidth="1" horizontalDpi="600" verticalDpi="600" orientation="landscape" scale="60" r:id="rId3"/>
  <headerFooter>
    <oddHeader>&amp;L&amp;F
Worksheet: &amp;A
&amp;D</oddHeader>
    <oddFooter>&amp;C&amp;P of &amp;N</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B104"/>
  <sheetViews>
    <sheetView showGridLines="0" zoomScale="80" zoomScaleNormal="80" zoomScalePageLayoutView="0" workbookViewId="0" topLeftCell="A6">
      <selection activeCell="V22" sqref="V22"/>
    </sheetView>
  </sheetViews>
  <sheetFormatPr defaultColWidth="9.140625" defaultRowHeight="15"/>
  <cols>
    <col min="1" max="1" width="1.7109375" style="1" customWidth="1"/>
    <col min="2" max="2" width="0.9921875" style="1" customWidth="1"/>
    <col min="3" max="3" width="8.57421875" style="1" customWidth="1"/>
    <col min="4" max="4" width="0.9921875" style="1" customWidth="1"/>
    <col min="5" max="5" width="54.00390625" style="1" customWidth="1"/>
    <col min="6" max="6" width="13.421875" style="1" customWidth="1"/>
    <col min="7" max="7" width="19.140625" style="1" bestFit="1" customWidth="1"/>
    <col min="8" max="8" width="0.85546875" style="1" customWidth="1"/>
    <col min="9" max="9" width="7.421875" style="1" customWidth="1"/>
    <col min="10" max="11" width="1.8515625" style="1" customWidth="1"/>
    <col min="12" max="12" width="1.1484375" style="1" customWidth="1"/>
    <col min="13" max="13" width="8.57421875" style="1" customWidth="1"/>
    <col min="14" max="14" width="0.9921875" style="1" customWidth="1"/>
    <col min="15" max="15" width="58.00390625" style="1" customWidth="1"/>
    <col min="16" max="16" width="19.00390625" style="1" customWidth="1"/>
    <col min="17" max="17" width="24.28125" style="1" customWidth="1"/>
    <col min="18" max="18" width="0.85546875" style="1" customWidth="1"/>
    <col min="19" max="19" width="7.57421875" style="1" customWidth="1"/>
    <col min="20" max="20" width="11.140625" style="1" customWidth="1"/>
    <col min="21" max="26" width="19.140625" style="1" customWidth="1"/>
    <col min="27" max="27" width="0.85546875" style="1" customWidth="1"/>
    <col min="28" max="16384" width="9.140625" style="1" customWidth="1"/>
  </cols>
  <sheetData>
    <row r="1" ht="7.5" customHeight="1" thickBot="1">
      <c r="B1" s="80"/>
    </row>
    <row r="2" spans="2:28" s="148" customFormat="1" ht="30" customHeight="1" thickBot="1">
      <c r="B2" s="439"/>
      <c r="C2" s="634" t="s">
        <v>197</v>
      </c>
      <c r="D2" s="634"/>
      <c r="E2" s="634"/>
      <c r="F2" s="634"/>
      <c r="G2" s="634"/>
      <c r="H2" s="634"/>
      <c r="I2" s="634"/>
      <c r="J2" s="634"/>
      <c r="K2" s="634"/>
      <c r="L2" s="634"/>
      <c r="M2" s="634"/>
      <c r="N2" s="634"/>
      <c r="O2" s="634"/>
      <c r="P2" s="634"/>
      <c r="Q2" s="634"/>
      <c r="R2" s="634"/>
      <c r="S2" s="634"/>
      <c r="T2" s="634"/>
      <c r="U2" s="213"/>
      <c r="V2" s="214"/>
      <c r="W2" s="214"/>
      <c r="X2" s="214"/>
      <c r="Y2" s="214"/>
      <c r="Z2" s="214"/>
      <c r="AA2" s="214"/>
      <c r="AB2" s="215"/>
    </row>
    <row r="3" spans="2:28" ht="18.75" customHeight="1">
      <c r="B3" s="280"/>
      <c r="C3" s="158"/>
      <c r="D3" s="158"/>
      <c r="E3" s="158"/>
      <c r="F3" s="158"/>
      <c r="G3" s="158"/>
      <c r="H3" s="158"/>
      <c r="I3" s="158"/>
      <c r="J3" s="459"/>
      <c r="K3" s="457"/>
      <c r="L3" s="438"/>
      <c r="M3" s="16"/>
      <c r="N3" s="16"/>
      <c r="O3" s="16"/>
      <c r="P3" s="16"/>
      <c r="Q3" s="16"/>
      <c r="R3" s="16"/>
      <c r="S3" s="16"/>
      <c r="T3" s="16"/>
      <c r="U3" s="158"/>
      <c r="V3" s="159"/>
      <c r="W3" s="159"/>
      <c r="X3" s="159"/>
      <c r="Y3" s="159"/>
      <c r="Z3" s="159"/>
      <c r="AA3" s="159"/>
      <c r="AB3" s="187"/>
    </row>
    <row r="4" spans="2:28" ht="18.75" thickBot="1">
      <c r="B4" s="11"/>
      <c r="C4" s="279" t="s">
        <v>20</v>
      </c>
      <c r="D4" s="16"/>
      <c r="F4" s="17"/>
      <c r="H4" s="273"/>
      <c r="I4" s="303" t="s">
        <v>19</v>
      </c>
      <c r="J4" s="147"/>
      <c r="K4" s="458"/>
      <c r="L4" s="188"/>
      <c r="M4" s="279" t="s">
        <v>20</v>
      </c>
      <c r="N4" s="17"/>
      <c r="O4" s="633" t="s">
        <v>14</v>
      </c>
      <c r="P4" s="633"/>
      <c r="Q4" s="290"/>
      <c r="R4" s="196"/>
      <c r="S4" s="291" t="s">
        <v>19</v>
      </c>
      <c r="T4" s="274"/>
      <c r="U4" s="16"/>
      <c r="AB4" s="147"/>
    </row>
    <row r="5" spans="2:28" ht="30" customHeight="1" thickBot="1">
      <c r="B5" s="280"/>
      <c r="C5" s="283"/>
      <c r="D5" s="159"/>
      <c r="E5" s="82" t="s">
        <v>15</v>
      </c>
      <c r="F5" s="18"/>
      <c r="G5" s="78" t="s">
        <v>13</v>
      </c>
      <c r="H5" s="284"/>
      <c r="I5" s="304" t="s">
        <v>8</v>
      </c>
      <c r="J5" s="285"/>
      <c r="L5" s="280"/>
      <c r="M5" s="159"/>
      <c r="N5" s="159"/>
      <c r="O5" s="281" t="s">
        <v>13</v>
      </c>
      <c r="P5" s="281" t="s">
        <v>143</v>
      </c>
      <c r="Q5" s="159"/>
      <c r="R5" s="282"/>
      <c r="S5" s="159"/>
      <c r="T5" s="282"/>
      <c r="U5" s="282"/>
      <c r="V5" s="159"/>
      <c r="W5" s="159"/>
      <c r="X5" s="159"/>
      <c r="Y5" s="159"/>
      <c r="Z5" s="159"/>
      <c r="AA5" s="159"/>
      <c r="AB5" s="187"/>
    </row>
    <row r="6" spans="2:28" ht="18.75" thickBot="1">
      <c r="B6" s="11"/>
      <c r="E6" s="23"/>
      <c r="F6" s="18"/>
      <c r="G6" s="22"/>
      <c r="H6" s="83"/>
      <c r="I6" s="19"/>
      <c r="J6" s="286"/>
      <c r="K6" s="17"/>
      <c r="L6" s="11"/>
      <c r="AB6" s="147"/>
    </row>
    <row r="7" spans="2:28" ht="16.5" thickBot="1">
      <c r="B7" s="11"/>
      <c r="E7" s="2" t="s">
        <v>16</v>
      </c>
      <c r="F7" s="232" t="s">
        <v>236</v>
      </c>
      <c r="G7" s="294" t="s">
        <v>265</v>
      </c>
      <c r="H7" s="65"/>
      <c r="I7" s="19"/>
      <c r="J7" s="287"/>
      <c r="K7" s="17"/>
      <c r="L7" s="11"/>
      <c r="O7" s="2" t="s">
        <v>288</v>
      </c>
      <c r="P7" s="232" t="s">
        <v>236</v>
      </c>
      <c r="Q7" s="294" t="s">
        <v>265</v>
      </c>
      <c r="AB7" s="147"/>
    </row>
    <row r="8" spans="2:28" ht="15.75">
      <c r="B8" s="11"/>
      <c r="E8" s="312" t="s">
        <v>29</v>
      </c>
      <c r="F8" s="7" t="s">
        <v>327</v>
      </c>
      <c r="G8" s="314">
        <f>'Input Assumptions'!D4</f>
        <v>2666.6666666666665</v>
      </c>
      <c r="H8" s="161"/>
      <c r="I8" s="13" t="s">
        <v>8</v>
      </c>
      <c r="J8" s="288"/>
      <c r="K8" s="17"/>
      <c r="L8" s="11"/>
      <c r="M8" s="255"/>
      <c r="N8" s="1">
        <f>IF(OR(Q8&lt;=0,Q8&gt;G15),1,0)</f>
        <v>0</v>
      </c>
      <c r="O8" s="312" t="s">
        <v>296</v>
      </c>
      <c r="P8" s="313" t="s">
        <v>4</v>
      </c>
      <c r="Q8" s="348">
        <v>15</v>
      </c>
      <c r="R8" s="164"/>
      <c r="S8" s="13" t="s">
        <v>8</v>
      </c>
      <c r="T8" s="227"/>
      <c r="AB8" s="147"/>
    </row>
    <row r="9" spans="2:28" ht="15.75">
      <c r="B9" s="11"/>
      <c r="C9" s="253"/>
      <c r="E9" s="464" t="s">
        <v>348</v>
      </c>
      <c r="F9" s="453"/>
      <c r="G9" s="465" t="s">
        <v>291</v>
      </c>
      <c r="I9" s="13" t="s">
        <v>8</v>
      </c>
      <c r="J9" s="147"/>
      <c r="K9" s="17"/>
      <c r="L9" s="11"/>
      <c r="M9" s="203"/>
      <c r="O9" s="315" t="s">
        <v>167</v>
      </c>
      <c r="P9" s="7" t="s">
        <v>1</v>
      </c>
      <c r="Q9" s="316">
        <v>0.01</v>
      </c>
      <c r="R9" s="162"/>
      <c r="S9" s="13" t="s">
        <v>8</v>
      </c>
      <c r="T9" s="227"/>
      <c r="AB9" s="147"/>
    </row>
    <row r="10" spans="2:28" ht="16.5" thickBot="1">
      <c r="B10" s="11"/>
      <c r="C10" s="456"/>
      <c r="E10" s="464" t="s">
        <v>349</v>
      </c>
      <c r="F10" s="454"/>
      <c r="G10" s="465" t="s">
        <v>292</v>
      </c>
      <c r="I10" s="13" t="s">
        <v>8</v>
      </c>
      <c r="J10" s="147"/>
      <c r="K10" s="17"/>
      <c r="L10" s="11"/>
      <c r="M10" s="202"/>
      <c r="O10" s="378" t="s">
        <v>289</v>
      </c>
      <c r="P10" s="322" t="s">
        <v>1</v>
      </c>
      <c r="Q10" s="379">
        <v>0</v>
      </c>
      <c r="R10" s="162"/>
      <c r="S10" s="13" t="s">
        <v>8</v>
      </c>
      <c r="T10" s="227"/>
      <c r="U10" s="17"/>
      <c r="AB10" s="147"/>
    </row>
    <row r="11" spans="2:28" ht="16.5" thickBot="1">
      <c r="B11" s="11"/>
      <c r="C11" s="456"/>
      <c r="E11" s="315" t="s">
        <v>293</v>
      </c>
      <c r="F11" s="7" t="str">
        <f>IF($G$5="Photovoltaic","% dc","% ac")</f>
        <v>% dc</v>
      </c>
      <c r="G11" s="316">
        <v>0.14</v>
      </c>
      <c r="I11" s="13" t="s">
        <v>8</v>
      </c>
      <c r="J11" s="147"/>
      <c r="K11" s="17"/>
      <c r="L11" s="188"/>
      <c r="M11" s="17"/>
      <c r="N11" s="17"/>
      <c r="O11" s="17"/>
      <c r="P11" s="17"/>
      <c r="Q11" s="17"/>
      <c r="R11" s="17"/>
      <c r="S11" s="17"/>
      <c r="T11" s="17"/>
      <c r="U11" s="90"/>
      <c r="V11" s="90"/>
      <c r="W11" s="90"/>
      <c r="X11" s="90"/>
      <c r="Y11" s="90"/>
      <c r="Z11" s="90"/>
      <c r="AB11" s="147"/>
    </row>
    <row r="12" spans="2:28" ht="16.5" thickBot="1">
      <c r="B12" s="11"/>
      <c r="C12" s="254"/>
      <c r="D12" s="1">
        <f>IF(OR(G12&lt;=0,G12&gt;1),1,0)</f>
        <v>0</v>
      </c>
      <c r="E12" s="318" t="s">
        <v>216</v>
      </c>
      <c r="F12" s="7" t="s">
        <v>373</v>
      </c>
      <c r="G12" s="316">
        <f>'Input Assumptions'!D6</f>
        <v>0.155</v>
      </c>
      <c r="H12" s="162"/>
      <c r="I12" s="13" t="s">
        <v>8</v>
      </c>
      <c r="J12" s="288"/>
      <c r="K12" s="17"/>
      <c r="L12" s="188"/>
      <c r="O12" s="2" t="s">
        <v>290</v>
      </c>
      <c r="P12" s="3"/>
      <c r="Q12" s="4"/>
      <c r="R12" s="17"/>
      <c r="S12" s="13" t="s">
        <v>8</v>
      </c>
      <c r="T12" s="87"/>
      <c r="U12" s="88"/>
      <c r="V12" s="88"/>
      <c r="W12" s="88"/>
      <c r="X12" s="88"/>
      <c r="Y12" s="88"/>
      <c r="Z12" s="88"/>
      <c r="AB12" s="147"/>
    </row>
    <row r="13" spans="2:28" ht="15.75">
      <c r="B13" s="11"/>
      <c r="C13" s="175"/>
      <c r="E13" s="318" t="s">
        <v>224</v>
      </c>
      <c r="F13" s="8" t="s">
        <v>2</v>
      </c>
      <c r="G13" s="319">
        <f>G8*G12*8760</f>
        <v>3620800</v>
      </c>
      <c r="H13" s="163"/>
      <c r="I13" s="13" t="s">
        <v>314</v>
      </c>
      <c r="J13" s="288"/>
      <c r="K13" s="17"/>
      <c r="L13" s="188"/>
      <c r="M13" s="253"/>
      <c r="O13" s="380" t="s">
        <v>207</v>
      </c>
      <c r="P13" s="381"/>
      <c r="Q13" s="382" t="s">
        <v>258</v>
      </c>
      <c r="S13" s="230" t="s">
        <v>8</v>
      </c>
      <c r="T13" s="231">
        <f>IF(Q8&lt;G15,1,0)</f>
        <v>1</v>
      </c>
      <c r="Y13" s="87"/>
      <c r="Z13" s="87"/>
      <c r="AB13" s="147"/>
    </row>
    <row r="14" spans="2:28" ht="15.75">
      <c r="B14" s="11"/>
      <c r="C14" s="253"/>
      <c r="D14" s="1">
        <f>IF(OR(G14&lt;0,G14&gt;1),1,0)</f>
        <v>0</v>
      </c>
      <c r="E14" s="320" t="s">
        <v>166</v>
      </c>
      <c r="F14" s="7" t="s">
        <v>1</v>
      </c>
      <c r="G14" s="316">
        <v>0.005</v>
      </c>
      <c r="H14" s="162"/>
      <c r="I14" s="13" t="s">
        <v>8</v>
      </c>
      <c r="J14" s="288"/>
      <c r="K14" s="17"/>
      <c r="L14" s="188"/>
      <c r="M14" s="253"/>
      <c r="N14" s="1">
        <f>IF(OR(Q14&lt;=0,Q14=""),1,0)</f>
        <v>0</v>
      </c>
      <c r="O14" s="383" t="s">
        <v>176</v>
      </c>
      <c r="P14" s="228" t="s">
        <v>50</v>
      </c>
      <c r="Q14" s="552">
        <f>AVERAGE('Net Metering Credit'!C9,'Net Metering Credit'!C13)*100*'Input Assumptions'!$D$19</f>
        <v>1.7069</v>
      </c>
      <c r="S14" s="230" t="s">
        <v>8</v>
      </c>
      <c r="T14" s="231">
        <f>IF(AND($Q$8&lt;$G$15,$Q$13="Year One"),1,0)</f>
        <v>1</v>
      </c>
      <c r="Y14" s="87"/>
      <c r="Z14" s="87"/>
      <c r="AB14" s="147"/>
    </row>
    <row r="15" spans="2:28" ht="16.5" thickBot="1">
      <c r="B15" s="11"/>
      <c r="C15" s="255"/>
      <c r="D15" s="1">
        <f>IF(OR(G15&lt;1,G15&gt;30),1,0)</f>
        <v>0</v>
      </c>
      <c r="E15" s="321" t="s">
        <v>175</v>
      </c>
      <c r="F15" s="322" t="s">
        <v>4</v>
      </c>
      <c r="G15" s="481">
        <v>25</v>
      </c>
      <c r="H15" s="164"/>
      <c r="I15" s="13" t="s">
        <v>8</v>
      </c>
      <c r="J15" s="288"/>
      <c r="K15" s="17"/>
      <c r="L15" s="188"/>
      <c r="M15" s="253"/>
      <c r="N15" s="1">
        <f>IF(OR(Q15&lt;=0,Q15=""),1,0)</f>
        <v>0</v>
      </c>
      <c r="O15" s="384" t="s">
        <v>177</v>
      </c>
      <c r="P15" s="229" t="s">
        <v>1</v>
      </c>
      <c r="Q15" s="385">
        <v>0.02</v>
      </c>
      <c r="S15" s="252" t="s">
        <v>8</v>
      </c>
      <c r="T15" s="231">
        <f>IF(AND($Q$8&lt;$G$15,$Q$13="Year One"),1,0)</f>
        <v>1</v>
      </c>
      <c r="Y15" s="87"/>
      <c r="Z15" s="87"/>
      <c r="AB15" s="147"/>
    </row>
    <row r="16" spans="2:28" ht="16.5" thickBot="1">
      <c r="B16" s="11"/>
      <c r="G16" s="19"/>
      <c r="H16" s="19"/>
      <c r="I16" s="15"/>
      <c r="J16" s="288"/>
      <c r="K16" s="17"/>
      <c r="L16" s="188"/>
      <c r="O16" s="386">
        <f>IF(OR($Q$13="Year One",$Q$8=$G$15),"","Click Here for Complex Input Worksheet")</f>
      </c>
      <c r="P16" s="387"/>
      <c r="Q16" s="388"/>
      <c r="S16" s="250" t="s">
        <v>8</v>
      </c>
      <c r="T16" s="231">
        <f>IF(AND($Q$8&lt;$G$15,$Q$13="Year-by-Year"),1,0)</f>
        <v>0</v>
      </c>
      <c r="U16" s="87"/>
      <c r="V16" s="87"/>
      <c r="W16" s="87"/>
      <c r="X16" s="87"/>
      <c r="Y16" s="87"/>
      <c r="Z16" s="87"/>
      <c r="AB16" s="147"/>
    </row>
    <row r="17" spans="2:28" ht="16.5" thickBot="1">
      <c r="B17" s="11"/>
      <c r="E17" s="9" t="s">
        <v>145</v>
      </c>
      <c r="F17" s="232" t="s">
        <v>236</v>
      </c>
      <c r="G17" s="294" t="s">
        <v>265</v>
      </c>
      <c r="H17" s="173"/>
      <c r="I17" s="15"/>
      <c r="J17" s="288"/>
      <c r="K17" s="17"/>
      <c r="L17" s="188"/>
      <c r="T17" s="89"/>
      <c r="U17" s="87"/>
      <c r="V17" s="87"/>
      <c r="W17" s="87"/>
      <c r="X17" s="87"/>
      <c r="Y17" s="87"/>
      <c r="Z17" s="87"/>
      <c r="AB17" s="147"/>
    </row>
    <row r="18" spans="2:28" ht="16.5" thickBot="1">
      <c r="B18" s="11"/>
      <c r="C18" s="204"/>
      <c r="E18" s="323" t="s">
        <v>9</v>
      </c>
      <c r="F18" s="324"/>
      <c r="G18" s="325" t="s">
        <v>311</v>
      </c>
      <c r="H18" s="171"/>
      <c r="I18" s="13" t="s">
        <v>8</v>
      </c>
      <c r="J18" s="288"/>
      <c r="K18" s="17"/>
      <c r="L18" s="188"/>
      <c r="O18" s="5" t="s">
        <v>26</v>
      </c>
      <c r="P18" s="232" t="s">
        <v>236</v>
      </c>
      <c r="Q18" s="294" t="s">
        <v>265</v>
      </c>
      <c r="R18" s="84"/>
      <c r="S18" s="15"/>
      <c r="T18" s="17"/>
      <c r="AA18" s="17"/>
      <c r="AB18" s="147"/>
    </row>
    <row r="19" spans="2:28" ht="15.75">
      <c r="B19" s="11"/>
      <c r="C19" s="205"/>
      <c r="E19" s="449" t="s">
        <v>123</v>
      </c>
      <c r="F19" s="450" t="str">
        <f>IF($G$5="Photovoltaic","$/Watt dc","$/Watt ac")</f>
        <v>$/Watt dc</v>
      </c>
      <c r="G19" s="451">
        <v>2.03</v>
      </c>
      <c r="H19" s="165"/>
      <c r="I19" s="250" t="s">
        <v>8</v>
      </c>
      <c r="J19" s="289"/>
      <c r="K19" s="17"/>
      <c r="L19" s="188"/>
      <c r="M19" s="258"/>
      <c r="O19" s="440" t="s">
        <v>304</v>
      </c>
      <c r="P19" s="441"/>
      <c r="Q19" s="442" t="s">
        <v>312</v>
      </c>
      <c r="R19" s="231">
        <f>IF(OR(Q19="Performance-Based",Q19="Neither"),1,IF(OR(Q19="Cost-Based",Q19="Neither"),2,0))</f>
        <v>2</v>
      </c>
      <c r="S19" s="13" t="s">
        <v>8</v>
      </c>
      <c r="T19" s="17"/>
      <c r="Z19" s="17"/>
      <c r="AA19" s="17"/>
      <c r="AB19" s="458"/>
    </row>
    <row r="20" spans="2:28" ht="15.75">
      <c r="B20" s="11"/>
      <c r="C20" s="206"/>
      <c r="E20" s="326" t="s">
        <v>146</v>
      </c>
      <c r="F20" s="228" t="s">
        <v>0</v>
      </c>
      <c r="G20" s="327">
        <f>('Input Assumptions'!H4*(1-('Input Assumptions'!$H$10*('Input Assumptions'!$H$12-'Input Assumptions'!$H$11))))</f>
        <v>2228656.1479162793</v>
      </c>
      <c r="H20" s="166"/>
      <c r="I20" s="250" t="s">
        <v>8</v>
      </c>
      <c r="J20" s="288"/>
      <c r="K20" s="17"/>
      <c r="L20" s="188"/>
      <c r="M20" s="258"/>
      <c r="O20" s="320" t="s">
        <v>249</v>
      </c>
      <c r="P20" s="7"/>
      <c r="Q20" s="466" t="s">
        <v>313</v>
      </c>
      <c r="R20" s="17"/>
      <c r="S20" s="13" t="s">
        <v>8</v>
      </c>
      <c r="T20" s="17"/>
      <c r="Z20" s="17"/>
      <c r="AA20" s="17"/>
      <c r="AB20" s="458"/>
    </row>
    <row r="21" spans="2:28" ht="15" customHeight="1">
      <c r="B21" s="11"/>
      <c r="C21" s="260"/>
      <c r="E21" s="326" t="s">
        <v>147</v>
      </c>
      <c r="F21" s="228" t="s">
        <v>0</v>
      </c>
      <c r="G21" s="327">
        <f>('Input Assumptions'!H5*(1-('Input Assumptions'!H10*('Input Assumptions'!H12-'Input Assumptions'!H11)))*0.89)+(('Input Assumptions'!I5*(1-('Input Assumptions'!H10*('Input Assumptions'!H12-'Input Assumptions'!H11)))*0.11*0.5))</f>
        <v>1024239.0395959762</v>
      </c>
      <c r="H21" s="166"/>
      <c r="I21" s="250" t="s">
        <v>8</v>
      </c>
      <c r="J21" s="288"/>
      <c r="K21" s="17"/>
      <c r="L21" s="188"/>
      <c r="M21" s="258"/>
      <c r="N21" s="1">
        <f>IF(OR(Q21&lt;0,Q21&gt;1,Q21=""),1,0)</f>
        <v>0</v>
      </c>
      <c r="O21" s="317" t="s">
        <v>182</v>
      </c>
      <c r="P21" s="6" t="s">
        <v>1</v>
      </c>
      <c r="Q21" s="390">
        <v>0.3</v>
      </c>
      <c r="R21" s="17"/>
      <c r="S21" s="13" t="s">
        <v>8</v>
      </c>
      <c r="T21" s="17"/>
      <c r="Z21" s="17"/>
      <c r="AA21" s="17"/>
      <c r="AB21" s="476"/>
    </row>
    <row r="22" spans="2:28" ht="15.75">
      <c r="B22" s="11"/>
      <c r="C22" s="260"/>
      <c r="E22" s="328" t="s">
        <v>148</v>
      </c>
      <c r="F22" s="228" t="s">
        <v>0</v>
      </c>
      <c r="G22" s="327">
        <f>'Input Assumptions'!I6/2</f>
        <v>235342</v>
      </c>
      <c r="H22" s="166"/>
      <c r="I22" s="250" t="s">
        <v>8</v>
      </c>
      <c r="J22" s="288"/>
      <c r="K22" s="17"/>
      <c r="L22" s="11"/>
      <c r="N22" s="472">
        <f>IF(OR(Q22&lt;0,Q22&gt;1,Q22=""),1,0)</f>
        <v>0</v>
      </c>
      <c r="O22" s="317" t="s">
        <v>18</v>
      </c>
      <c r="P22" s="6" t="s">
        <v>1</v>
      </c>
      <c r="Q22" s="390">
        <v>1</v>
      </c>
      <c r="R22" s="473">
        <f>IF(AND($Q$19="Cost-Based",$Q$20="ITC"),1,0)</f>
        <v>1</v>
      </c>
      <c r="AB22" s="147"/>
    </row>
    <row r="23" spans="2:28" ht="16.5" thickBot="1">
      <c r="B23" s="11"/>
      <c r="C23" s="260"/>
      <c r="E23" s="328" t="s">
        <v>149</v>
      </c>
      <c r="F23" s="228" t="s">
        <v>0</v>
      </c>
      <c r="G23" s="327">
        <f>('Input Assumptions'!H7*(1-('Input Assumptions'!H10*('Input Assumptions'!H12-'Input Assumptions'!H11)))*0.4)+('Input Assumptions'!I7*(1-('Input Assumptions'!H10*('Input Assumptions'!H12-'Input Assumptions'!H11)))*0.6*0.5)</f>
        <v>618142.4044731989</v>
      </c>
      <c r="H23" s="166"/>
      <c r="I23" s="250" t="s">
        <v>8</v>
      </c>
      <c r="J23" s="288"/>
      <c r="K23" s="17"/>
      <c r="L23" s="188"/>
      <c r="O23" s="321" t="s">
        <v>121</v>
      </c>
      <c r="P23" s="367" t="s">
        <v>0</v>
      </c>
      <c r="Q23" s="391">
        <f>IF($G$73="Yes",IF($Q$20="ITC",IF($G$18="Complex",0,'Cash Flow'!$C$99)*'CREST Inputs'!$Q$21*'CREST Inputs'!$Q$22,IF($Q$20="Cash Grant",IF($G$18="Complex",0,'Cash Flow'!$C$99)*'CREST Inputs'!$Q$21,0)),0)</f>
        <v>943843.0036128527</v>
      </c>
      <c r="R23" s="85"/>
      <c r="S23" s="13" t="s">
        <v>8</v>
      </c>
      <c r="AB23" s="147"/>
    </row>
    <row r="24" spans="2:28" ht="15.75">
      <c r="B24" s="11"/>
      <c r="C24" s="207"/>
      <c r="E24" s="328" t="s">
        <v>85</v>
      </c>
      <c r="F24" s="228" t="s">
        <v>0</v>
      </c>
      <c r="G24" s="329">
        <f>($G$54*$G$51*SUM($G$20:$G$23)+$G$48+$G$64+$Q$63+$Q$66)</f>
        <v>283448.5068798415</v>
      </c>
      <c r="H24" s="167"/>
      <c r="I24" s="250" t="s">
        <v>8</v>
      </c>
      <c r="J24" s="288"/>
      <c r="K24" s="17"/>
      <c r="L24" s="188"/>
      <c r="M24" s="258"/>
      <c r="O24" s="344" t="s">
        <v>250</v>
      </c>
      <c r="P24" s="392"/>
      <c r="Q24" s="393" t="s">
        <v>248</v>
      </c>
      <c r="S24" s="13" t="s">
        <v>8</v>
      </c>
      <c r="AB24" s="147"/>
    </row>
    <row r="25" spans="2:28" ht="16.5" thickBot="1">
      <c r="B25" s="11"/>
      <c r="C25" s="207"/>
      <c r="E25" s="330" t="s">
        <v>252</v>
      </c>
      <c r="F25" s="331">
        <f>IF($G$18="Complex","$","")</f>
      </c>
      <c r="G25" s="332">
        <f>IF($G$18="Complex",0,"")</f>
      </c>
      <c r="H25" s="168"/>
      <c r="I25" s="250" t="s">
        <v>8</v>
      </c>
      <c r="J25" s="288"/>
      <c r="K25" s="17"/>
      <c r="L25" s="188"/>
      <c r="M25" s="253"/>
      <c r="O25" s="315" t="s">
        <v>124</v>
      </c>
      <c r="P25" s="93" t="s">
        <v>50</v>
      </c>
      <c r="Q25" s="394">
        <v>2.3</v>
      </c>
      <c r="R25" s="17"/>
      <c r="S25" s="13" t="s">
        <v>8</v>
      </c>
      <c r="AB25" s="147"/>
    </row>
    <row r="26" spans="2:28" ht="15.75">
      <c r="B26" s="11"/>
      <c r="C26" s="208"/>
      <c r="E26" s="333" t="s">
        <v>298</v>
      </c>
      <c r="F26" s="313" t="s">
        <v>0</v>
      </c>
      <c r="G26" s="334">
        <f>IF($G$18="Simple",($G$19*$G$8*1000),IF($G$18="Intermediate",SUM($G$20:$G$24),IF($G$18="Complex",$G$25,0)))</f>
        <v>4389828.098865296</v>
      </c>
      <c r="H26" s="168"/>
      <c r="I26" s="13" t="s">
        <v>8</v>
      </c>
      <c r="J26" s="288"/>
      <c r="K26" s="17"/>
      <c r="L26" s="11"/>
      <c r="N26" s="1">
        <f>IF(OR(Q26&lt;0,Q26&gt;1),1,0)</f>
        <v>0</v>
      </c>
      <c r="O26" s="315" t="s">
        <v>284</v>
      </c>
      <c r="P26" s="6" t="s">
        <v>1</v>
      </c>
      <c r="Q26" s="395">
        <v>1</v>
      </c>
      <c r="T26" s="17"/>
      <c r="AB26" s="147"/>
    </row>
    <row r="27" spans="2:28" ht="16.5" thickBot="1">
      <c r="B27" s="11"/>
      <c r="C27" s="208"/>
      <c r="E27" s="452" t="s">
        <v>298</v>
      </c>
      <c r="F27" s="336" t="str">
        <f>F19</f>
        <v>$/Watt dc</v>
      </c>
      <c r="G27" s="337">
        <f>G26/G8/1000</f>
        <v>1.646185537074486</v>
      </c>
      <c r="H27" s="174"/>
      <c r="I27" s="13" t="s">
        <v>8</v>
      </c>
      <c r="J27" s="288"/>
      <c r="K27" s="17"/>
      <c r="L27" s="188"/>
      <c r="M27" s="253"/>
      <c r="N27" s="1">
        <f>IF(OR(Q27&lt;0,Q27&gt;G15),1,0)</f>
        <v>0</v>
      </c>
      <c r="O27" s="315" t="s">
        <v>34</v>
      </c>
      <c r="P27" s="21" t="s">
        <v>33</v>
      </c>
      <c r="Q27" s="475">
        <v>10</v>
      </c>
      <c r="R27" s="17"/>
      <c r="S27" s="13" t="s">
        <v>8</v>
      </c>
      <c r="AB27" s="147"/>
    </row>
    <row r="28" spans="2:28" ht="16.5" thickBot="1">
      <c r="B28" s="11"/>
      <c r="C28" s="209"/>
      <c r="E28" s="20"/>
      <c r="F28" s="12"/>
      <c r="G28" s="12"/>
      <c r="I28" s="19"/>
      <c r="J28" s="288"/>
      <c r="K28" s="17"/>
      <c r="L28" s="188"/>
      <c r="M28" s="253"/>
      <c r="O28" s="315" t="s">
        <v>129</v>
      </c>
      <c r="P28" s="6" t="s">
        <v>1</v>
      </c>
      <c r="Q28" s="395">
        <v>0.02</v>
      </c>
      <c r="R28" s="17"/>
      <c r="S28" s="13" t="s">
        <v>8</v>
      </c>
      <c r="T28" s="17"/>
      <c r="AB28" s="147"/>
    </row>
    <row r="29" spans="2:28" ht="16.5" thickBot="1">
      <c r="B29" s="11"/>
      <c r="E29" s="5" t="s">
        <v>10</v>
      </c>
      <c r="F29" s="232" t="s">
        <v>236</v>
      </c>
      <c r="G29" s="294" t="s">
        <v>265</v>
      </c>
      <c r="H29" s="175"/>
      <c r="I29" s="19"/>
      <c r="J29" s="288"/>
      <c r="K29" s="17"/>
      <c r="L29" s="188"/>
      <c r="M29" s="253"/>
      <c r="O29" s="396" t="s">
        <v>307</v>
      </c>
      <c r="P29" s="397" t="s">
        <v>0</v>
      </c>
      <c r="Q29" s="398">
        <v>0</v>
      </c>
      <c r="R29" s="85"/>
      <c r="S29" s="13" t="s">
        <v>8</v>
      </c>
      <c r="T29" s="17" t="s">
        <v>314</v>
      </c>
      <c r="AB29" s="147"/>
    </row>
    <row r="30" spans="2:28" ht="16.5" thickBot="1">
      <c r="B30" s="11"/>
      <c r="C30" s="204"/>
      <c r="E30" s="483" t="s">
        <v>9</v>
      </c>
      <c r="F30" s="375"/>
      <c r="G30" s="482" t="s">
        <v>311</v>
      </c>
      <c r="H30" s="171"/>
      <c r="I30" s="13" t="s">
        <v>8</v>
      </c>
      <c r="J30" s="288"/>
      <c r="K30" s="17"/>
      <c r="L30" s="188"/>
      <c r="M30" s="258"/>
      <c r="O30" s="321" t="s">
        <v>198</v>
      </c>
      <c r="P30" s="322"/>
      <c r="Q30" s="373" t="s">
        <v>12</v>
      </c>
      <c r="R30" s="24"/>
      <c r="S30" s="13" t="s">
        <v>8</v>
      </c>
      <c r="T30" s="17"/>
      <c r="AB30" s="147"/>
    </row>
    <row r="31" spans="2:28" ht="16.5" thickBot="1">
      <c r="B31" s="11"/>
      <c r="C31" s="210"/>
      <c r="E31" s="312" t="s">
        <v>174</v>
      </c>
      <c r="F31" s="338" t="str">
        <f>IF($G$5=$O$5,"$/kW-yr dc",IF($G$5=$P$5,"$/kW-yr ac","error"))</f>
        <v>$/kW-yr dc</v>
      </c>
      <c r="G31" s="551">
        <v>10</v>
      </c>
      <c r="H31" s="176"/>
      <c r="I31" s="13" t="s">
        <v>8</v>
      </c>
      <c r="J31" s="288"/>
      <c r="K31" s="17"/>
      <c r="L31" s="11"/>
      <c r="AB31" s="147"/>
    </row>
    <row r="32" spans="2:28" ht="16.5" thickBot="1">
      <c r="B32" s="11"/>
      <c r="C32" s="253"/>
      <c r="E32" s="317" t="s">
        <v>86</v>
      </c>
      <c r="F32" s="6" t="s">
        <v>87</v>
      </c>
      <c r="G32" s="339">
        <v>0</v>
      </c>
      <c r="H32" s="177"/>
      <c r="I32" s="13" t="s">
        <v>8</v>
      </c>
      <c r="J32" s="288"/>
      <c r="K32" s="17"/>
      <c r="L32" s="188"/>
      <c r="O32" s="5" t="s">
        <v>303</v>
      </c>
      <c r="P32" s="232" t="s">
        <v>236</v>
      </c>
      <c r="Q32" s="294" t="s">
        <v>265</v>
      </c>
      <c r="R32" s="17"/>
      <c r="AB32" s="147"/>
    </row>
    <row r="33" spans="2:28" ht="15.75">
      <c r="B33" s="11"/>
      <c r="C33" s="211"/>
      <c r="D33" s="17"/>
      <c r="E33" s="340" t="s">
        <v>173</v>
      </c>
      <c r="F33" s="7" t="s">
        <v>1</v>
      </c>
      <c r="G33" s="523">
        <v>0.02</v>
      </c>
      <c r="H33" s="176"/>
      <c r="I33" s="13" t="s">
        <v>8</v>
      </c>
      <c r="J33" s="289"/>
      <c r="K33" s="17"/>
      <c r="L33" s="188"/>
      <c r="M33" s="258"/>
      <c r="O33" s="440" t="s">
        <v>305</v>
      </c>
      <c r="P33" s="441"/>
      <c r="Q33" s="442" t="s">
        <v>318</v>
      </c>
      <c r="S33" s="13" t="s">
        <v>8</v>
      </c>
      <c r="AB33" s="147"/>
    </row>
    <row r="34" spans="2:28" ht="15.75">
      <c r="B34" s="11"/>
      <c r="C34" s="203"/>
      <c r="E34" s="315" t="s">
        <v>171</v>
      </c>
      <c r="F34" s="7" t="s">
        <v>28</v>
      </c>
      <c r="G34" s="484">
        <v>10</v>
      </c>
      <c r="H34" s="176"/>
      <c r="I34" s="13" t="s">
        <v>8</v>
      </c>
      <c r="J34" s="289"/>
      <c r="K34" s="17"/>
      <c r="L34" s="188"/>
      <c r="M34" s="253"/>
      <c r="N34" s="1">
        <f>IF(OR(Q34&lt;0,Q34&gt;1),1,0)</f>
        <v>0</v>
      </c>
      <c r="O34" s="320" t="s">
        <v>169</v>
      </c>
      <c r="P34" s="7" t="s">
        <v>1</v>
      </c>
      <c r="Q34" s="399">
        <v>0.3</v>
      </c>
      <c r="R34" s="460">
        <f>IF(OR($Q$33="Performance-Based",$Q$33="Neither"),1,0)</f>
        <v>1</v>
      </c>
      <c r="S34" s="13" t="s">
        <v>8</v>
      </c>
      <c r="T34" s="17"/>
      <c r="AB34" s="147"/>
    </row>
    <row r="35" spans="2:28" ht="16.5" thickBot="1">
      <c r="B35" s="11"/>
      <c r="C35" s="211"/>
      <c r="D35" s="17"/>
      <c r="E35" s="343" t="s">
        <v>172</v>
      </c>
      <c r="F35" s="322" t="s">
        <v>1</v>
      </c>
      <c r="G35" s="485">
        <v>0.02</v>
      </c>
      <c r="H35" s="176"/>
      <c r="I35" s="13" t="s">
        <v>8</v>
      </c>
      <c r="J35" s="288"/>
      <c r="K35" s="17"/>
      <c r="L35" s="11"/>
      <c r="N35" s="1">
        <f>IF(OR(Q35&lt;0,Q35&gt;1),1,0)</f>
        <v>0</v>
      </c>
      <c r="O35" s="320" t="s">
        <v>27</v>
      </c>
      <c r="P35" s="7" t="s">
        <v>1</v>
      </c>
      <c r="Q35" s="399">
        <v>1</v>
      </c>
      <c r="AB35" s="147"/>
    </row>
    <row r="36" spans="2:28" ht="15.75">
      <c r="B36" s="11"/>
      <c r="C36" s="253"/>
      <c r="E36" s="443" t="s">
        <v>55</v>
      </c>
      <c r="F36" s="6" t="s">
        <v>1</v>
      </c>
      <c r="G36" s="550">
        <f>0.2/100</f>
        <v>0.002</v>
      </c>
      <c r="H36" s="176"/>
      <c r="I36" s="250" t="s">
        <v>8</v>
      </c>
      <c r="J36" s="288"/>
      <c r="K36" s="17"/>
      <c r="L36" s="188"/>
      <c r="M36" s="253"/>
      <c r="N36" s="1">
        <f>IF(OR(Q36&lt;1,Q36&gt;G15),1,0)</f>
        <v>0</v>
      </c>
      <c r="O36" s="315" t="s">
        <v>32</v>
      </c>
      <c r="P36" s="21" t="s">
        <v>33</v>
      </c>
      <c r="Q36" s="475">
        <v>5</v>
      </c>
      <c r="R36" s="231"/>
      <c r="S36" s="13" t="s">
        <v>8</v>
      </c>
      <c r="AB36" s="147"/>
    </row>
    <row r="37" spans="2:28" ht="16.5" thickBot="1">
      <c r="B37" s="11"/>
      <c r="E37" s="315" t="s">
        <v>261</v>
      </c>
      <c r="F37" s="7" t="s">
        <v>0</v>
      </c>
      <c r="G37" s="345">
        <f>$G$36*IF($G$18="Simple",$G$26,IF($G$18="Intermediate",SUM($G$20:$G$23),SUM(0)))</f>
        <v>8212.75918397091</v>
      </c>
      <c r="H37" s="176"/>
      <c r="I37" s="250" t="s">
        <v>8</v>
      </c>
      <c r="J37" s="288"/>
      <c r="K37" s="17"/>
      <c r="L37" s="11"/>
      <c r="O37" s="321" t="s">
        <v>287</v>
      </c>
      <c r="P37" s="276" t="s">
        <v>0</v>
      </c>
      <c r="Q37" s="445">
        <f>IF(AND($G$73="Yes",$Q$33="Cost-Based"),SUM('Cash Flow'!$G$177:$AJ$177),0)</f>
        <v>0</v>
      </c>
      <c r="R37" s="231"/>
      <c r="S37" s="13" t="s">
        <v>8</v>
      </c>
      <c r="AB37" s="147"/>
    </row>
    <row r="38" spans="2:28" ht="15.75">
      <c r="B38" s="11"/>
      <c r="C38" s="253"/>
      <c r="E38" s="317" t="s">
        <v>168</v>
      </c>
      <c r="F38" s="6" t="s">
        <v>11</v>
      </c>
      <c r="G38" s="553">
        <f>5*G8</f>
        <v>13333.333333333332</v>
      </c>
      <c r="H38" s="176"/>
      <c r="I38" s="250" t="s">
        <v>8</v>
      </c>
      <c r="J38" s="289"/>
      <c r="K38" s="17"/>
      <c r="L38" s="188"/>
      <c r="M38" s="258"/>
      <c r="O38" s="443" t="s">
        <v>251</v>
      </c>
      <c r="P38" s="6"/>
      <c r="Q38" s="444" t="s">
        <v>309</v>
      </c>
      <c r="R38" s="460">
        <f>IF(OR($Q$33="Cost-Based",$Q$33="Neither"),1,0)</f>
        <v>1</v>
      </c>
      <c r="S38" s="13" t="s">
        <v>8</v>
      </c>
      <c r="AB38" s="147"/>
    </row>
    <row r="39" spans="2:28" ht="15.75">
      <c r="B39" s="11"/>
      <c r="C39" s="253"/>
      <c r="E39" s="315" t="s">
        <v>200</v>
      </c>
      <c r="F39" s="6" t="s">
        <v>11</v>
      </c>
      <c r="G39" s="524">
        <f>'Input Assumptions'!D3*'Input Assumptions'!D13</f>
        <v>12000</v>
      </c>
      <c r="H39" s="176"/>
      <c r="I39" s="250" t="s">
        <v>8</v>
      </c>
      <c r="J39" s="288"/>
      <c r="K39" s="17"/>
      <c r="L39" s="11"/>
      <c r="O39" s="315" t="s">
        <v>300</v>
      </c>
      <c r="P39" s="79" t="s">
        <v>0</v>
      </c>
      <c r="Q39" s="463">
        <v>250</v>
      </c>
      <c r="R39" s="144"/>
      <c r="S39" s="13" t="s">
        <v>8</v>
      </c>
      <c r="T39" s="17"/>
      <c r="U39" s="17"/>
      <c r="AB39" s="147"/>
    </row>
    <row r="40" spans="2:28" ht="15.75">
      <c r="B40" s="11"/>
      <c r="C40" s="253"/>
      <c r="E40" s="315" t="s">
        <v>199</v>
      </c>
      <c r="F40" s="6" t="s">
        <v>1</v>
      </c>
      <c r="G40" s="550">
        <v>-0.035</v>
      </c>
      <c r="H40" s="176"/>
      <c r="I40" s="250" t="s">
        <v>8</v>
      </c>
      <c r="J40" s="288"/>
      <c r="K40" s="17"/>
      <c r="L40" s="188"/>
      <c r="M40" s="258"/>
      <c r="O40" s="315" t="s">
        <v>310</v>
      </c>
      <c r="P40" s="10"/>
      <c r="Q40" s="400" t="s">
        <v>315</v>
      </c>
      <c r="R40" s="460">
        <f>IF(OR($Q$33="Cost-Based",$Q$33="Neither",$Q$38="Tax Credit"),1,0)</f>
        <v>1</v>
      </c>
      <c r="S40" s="13" t="s">
        <v>8</v>
      </c>
      <c r="U40" s="233"/>
      <c r="AB40" s="147"/>
    </row>
    <row r="41" spans="2:28" ht="15.75">
      <c r="B41" s="11"/>
      <c r="C41" s="253"/>
      <c r="E41" s="315" t="s">
        <v>268</v>
      </c>
      <c r="F41" s="6" t="s">
        <v>11</v>
      </c>
      <c r="G41" s="524">
        <f>('Input Assumptions'!D15*'Input Assumptions'!D16*(G8/1000))</f>
        <v>13333.333333333332</v>
      </c>
      <c r="H41" s="176"/>
      <c r="I41" s="250" t="s">
        <v>8</v>
      </c>
      <c r="J41" s="147"/>
      <c r="K41" s="17"/>
      <c r="L41" s="188"/>
      <c r="M41" s="253"/>
      <c r="O41" s="315" t="s">
        <v>301</v>
      </c>
      <c r="P41" s="93" t="s">
        <v>50</v>
      </c>
      <c r="Q41" s="394">
        <v>1.5</v>
      </c>
      <c r="R41" s="144"/>
      <c r="S41" s="13" t="s">
        <v>8</v>
      </c>
      <c r="T41" s="231">
        <f>IF(OR($Q$33="Cost-Based",$Q$33="Neither",$Q$38="Tax Credit"),1,0)</f>
        <v>1</v>
      </c>
      <c r="AB41" s="147"/>
    </row>
    <row r="42" spans="2:28" ht="15.75">
      <c r="B42" s="11"/>
      <c r="C42" s="253"/>
      <c r="E42" s="317" t="s">
        <v>101</v>
      </c>
      <c r="F42" s="6" t="s">
        <v>1</v>
      </c>
      <c r="G42" s="550">
        <v>0</v>
      </c>
      <c r="H42" s="176"/>
      <c r="I42" s="250" t="s">
        <v>8</v>
      </c>
      <c r="J42" s="288"/>
      <c r="K42" s="17"/>
      <c r="L42" s="11"/>
      <c r="N42" s="474">
        <f>IF(OR(Q42&lt;0,Q42&gt;1),1,0)</f>
        <v>0</v>
      </c>
      <c r="O42" s="315" t="s">
        <v>144</v>
      </c>
      <c r="P42" s="7" t="s">
        <v>1</v>
      </c>
      <c r="Q42" s="395">
        <v>1</v>
      </c>
      <c r="T42" s="231"/>
      <c r="U42" s="24"/>
      <c r="AB42" s="147"/>
    </row>
    <row r="43" spans="2:28" ht="16.5" thickBot="1">
      <c r="B43" s="11"/>
      <c r="E43" s="321" t="s">
        <v>262</v>
      </c>
      <c r="F43" s="322" t="s">
        <v>0</v>
      </c>
      <c r="G43" s="346">
        <f>-'Cash Flow'!G34</f>
        <v>0</v>
      </c>
      <c r="H43" s="176"/>
      <c r="I43" s="250" t="s">
        <v>8</v>
      </c>
      <c r="J43" s="147"/>
      <c r="K43" s="17"/>
      <c r="L43" s="188"/>
      <c r="M43" s="253"/>
      <c r="N43" s="1">
        <f>IF(OR(Q43&lt;0,Q43&gt;G15),1,0)</f>
        <v>0</v>
      </c>
      <c r="O43" s="315" t="s">
        <v>308</v>
      </c>
      <c r="P43" s="21" t="s">
        <v>33</v>
      </c>
      <c r="Q43" s="475">
        <v>10</v>
      </c>
      <c r="R43" s="24"/>
      <c r="S43" s="13" t="s">
        <v>8</v>
      </c>
      <c r="U43" s="24"/>
      <c r="AB43" s="147"/>
    </row>
    <row r="44" spans="2:28" ht="16.5" thickBot="1">
      <c r="B44" s="11"/>
      <c r="C44" s="212"/>
      <c r="E44" s="12"/>
      <c r="F44" s="12"/>
      <c r="G44" s="12"/>
      <c r="I44" s="19"/>
      <c r="J44" s="288"/>
      <c r="K44" s="17"/>
      <c r="L44" s="188"/>
      <c r="M44" s="253"/>
      <c r="O44" s="315" t="s">
        <v>302</v>
      </c>
      <c r="P44" s="6" t="s">
        <v>1</v>
      </c>
      <c r="Q44" s="395">
        <v>0.02</v>
      </c>
      <c r="R44" s="17"/>
      <c r="S44" s="13" t="s">
        <v>8</v>
      </c>
      <c r="T44" s="231"/>
      <c r="U44" s="249"/>
      <c r="AB44" s="147"/>
    </row>
    <row r="45" spans="2:28" ht="16.5" thickBot="1">
      <c r="B45" s="11"/>
      <c r="C45" s="212"/>
      <c r="E45" s="5" t="s">
        <v>163</v>
      </c>
      <c r="F45" s="232" t="s">
        <v>236</v>
      </c>
      <c r="G45" s="294" t="s">
        <v>265</v>
      </c>
      <c r="H45" s="179"/>
      <c r="I45" s="19"/>
      <c r="J45" s="288"/>
      <c r="K45" s="17"/>
      <c r="L45" s="188"/>
      <c r="M45" s="253"/>
      <c r="N45" s="17"/>
      <c r="O45" s="461" t="s">
        <v>306</v>
      </c>
      <c r="P45" s="375" t="s">
        <v>30</v>
      </c>
      <c r="Q45" s="543">
        <v>0.25</v>
      </c>
      <c r="S45" s="13" t="s">
        <v>8</v>
      </c>
      <c r="U45" s="24"/>
      <c r="AB45" s="147"/>
    </row>
    <row r="46" spans="2:28" ht="15.75">
      <c r="B46" s="11"/>
      <c r="C46" s="256"/>
      <c r="E46" s="347" t="s">
        <v>5</v>
      </c>
      <c r="F46" s="313" t="s">
        <v>37</v>
      </c>
      <c r="G46" s="348">
        <v>6</v>
      </c>
      <c r="H46" s="179"/>
      <c r="I46" s="13" t="s">
        <v>8</v>
      </c>
      <c r="J46" s="288"/>
      <c r="K46" s="17"/>
      <c r="L46" s="11"/>
      <c r="O46" s="315" t="s">
        <v>297</v>
      </c>
      <c r="P46" s="21" t="s">
        <v>0</v>
      </c>
      <c r="Q46" s="462">
        <v>1000000</v>
      </c>
      <c r="S46" s="13" t="s">
        <v>8</v>
      </c>
      <c r="U46" s="24"/>
      <c r="AB46" s="147"/>
    </row>
    <row r="47" spans="2:28" ht="16.5" thickBot="1">
      <c r="B47" s="11"/>
      <c r="C47" s="256"/>
      <c r="E47" s="340" t="s">
        <v>36</v>
      </c>
      <c r="F47" s="7" t="s">
        <v>1</v>
      </c>
      <c r="G47" s="341">
        <v>0.05</v>
      </c>
      <c r="H47" s="179"/>
      <c r="I47" s="13" t="s">
        <v>8</v>
      </c>
      <c r="J47" s="288"/>
      <c r="K47" s="17"/>
      <c r="L47" s="188"/>
      <c r="M47" s="258"/>
      <c r="O47" s="321" t="s">
        <v>299</v>
      </c>
      <c r="P47" s="322"/>
      <c r="Q47" s="373" t="s">
        <v>12</v>
      </c>
      <c r="R47" s="24"/>
      <c r="S47" s="13" t="s">
        <v>8</v>
      </c>
      <c r="U47" s="17"/>
      <c r="AB47" s="147"/>
    </row>
    <row r="48" spans="2:28" ht="16.5" thickBot="1">
      <c r="B48" s="11"/>
      <c r="C48" s="212"/>
      <c r="E48" s="343" t="s">
        <v>38</v>
      </c>
      <c r="F48" s="336" t="s">
        <v>0</v>
      </c>
      <c r="G48" s="346">
        <f>IF($G$18="intermediate",SUM(G20:G23)*($G$47/12)*($G$46/2),IF($G$18="complex",0,0))</f>
        <v>51329.74489981818</v>
      </c>
      <c r="H48" s="179"/>
      <c r="I48" s="13" t="s">
        <v>8</v>
      </c>
      <c r="J48" s="288"/>
      <c r="K48" s="17"/>
      <c r="L48" s="11"/>
      <c r="U48" s="190"/>
      <c r="AB48" s="147"/>
    </row>
    <row r="49" spans="2:28" ht="16.5" thickBot="1">
      <c r="B49" s="11"/>
      <c r="G49" s="91"/>
      <c r="H49" s="91"/>
      <c r="I49" s="19"/>
      <c r="J49" s="288"/>
      <c r="K49" s="17"/>
      <c r="L49" s="188"/>
      <c r="M49" s="17"/>
      <c r="N49" s="17"/>
      <c r="O49" s="5" t="s">
        <v>225</v>
      </c>
      <c r="P49" s="26"/>
      <c r="Q49" s="294" t="s">
        <v>265</v>
      </c>
      <c r="R49" s="17"/>
      <c r="S49" s="17"/>
      <c r="T49" s="17"/>
      <c r="U49" s="17"/>
      <c r="AB49" s="147"/>
    </row>
    <row r="50" spans="2:28" ht="16.5" thickBot="1">
      <c r="B50" s="11"/>
      <c r="C50" s="212"/>
      <c r="E50" s="5" t="s">
        <v>35</v>
      </c>
      <c r="F50" s="232" t="s">
        <v>236</v>
      </c>
      <c r="G50" s="294" t="s">
        <v>265</v>
      </c>
      <c r="H50" s="179"/>
      <c r="I50" s="292"/>
      <c r="J50" s="288"/>
      <c r="K50" s="17"/>
      <c r="L50" s="188"/>
      <c r="M50" s="259"/>
      <c r="N50" s="17">
        <f>IF(OR(Q50&lt;1,Q50&gt;$G$15),1,0)</f>
        <v>0</v>
      </c>
      <c r="O50" s="347" t="s">
        <v>53</v>
      </c>
      <c r="P50" s="397" t="s">
        <v>28</v>
      </c>
      <c r="Q50" s="401">
        <v>10</v>
      </c>
      <c r="R50" s="17"/>
      <c r="S50" s="13" t="s">
        <v>8</v>
      </c>
      <c r="T50" s="17"/>
      <c r="U50" s="17"/>
      <c r="AB50" s="147"/>
    </row>
    <row r="51" spans="2:28" ht="16.5" thickBot="1">
      <c r="B51" s="11"/>
      <c r="C51" s="253"/>
      <c r="D51" s="1">
        <f>IF(OR(G51="",G51&lt;0,G51&gt;1),1,0)</f>
        <v>0</v>
      </c>
      <c r="E51" s="344" t="s">
        <v>201</v>
      </c>
      <c r="F51" s="313" t="s">
        <v>1</v>
      </c>
      <c r="G51" s="349">
        <v>0.35</v>
      </c>
      <c r="H51" s="180"/>
      <c r="I51" s="13" t="s">
        <v>8</v>
      </c>
      <c r="J51" s="289"/>
      <c r="K51" s="17"/>
      <c r="L51" s="188"/>
      <c r="M51" s="211"/>
      <c r="N51" s="17"/>
      <c r="O51" s="340" t="s">
        <v>208</v>
      </c>
      <c r="P51" s="21" t="str">
        <f>F19</f>
        <v>$/Watt dc</v>
      </c>
      <c r="Q51" s="542">
        <v>0.13</v>
      </c>
      <c r="R51" s="17"/>
      <c r="S51" s="13" t="s">
        <v>8</v>
      </c>
      <c r="T51" s="17"/>
      <c r="U51" s="17"/>
      <c r="AB51" s="147"/>
    </row>
    <row r="52" spans="2:28" ht="15.75">
      <c r="B52" s="11"/>
      <c r="C52" s="253"/>
      <c r="D52" s="1">
        <f>IF(OR(G52&lt;=0,G52&gt;G15),1,0)</f>
        <v>0</v>
      </c>
      <c r="E52" s="315" t="s">
        <v>295</v>
      </c>
      <c r="F52" s="6" t="s">
        <v>4</v>
      </c>
      <c r="G52" s="342">
        <v>5</v>
      </c>
      <c r="H52" s="164"/>
      <c r="I52" s="13" t="s">
        <v>8</v>
      </c>
      <c r="J52" s="289"/>
      <c r="K52" s="17"/>
      <c r="L52" s="188"/>
      <c r="M52" s="259"/>
      <c r="N52" s="17">
        <f>IF(OR(Q52&lt;=Q50,Q52&gt;$G$15),1,0)</f>
        <v>1</v>
      </c>
      <c r="O52" s="340" t="s">
        <v>54</v>
      </c>
      <c r="P52" s="21" t="s">
        <v>28</v>
      </c>
      <c r="Q52" s="401"/>
      <c r="R52" s="17"/>
      <c r="S52" s="13" t="s">
        <v>8</v>
      </c>
      <c r="T52" s="17"/>
      <c r="U52" s="17"/>
      <c r="AB52" s="147"/>
    </row>
    <row r="53" spans="2:28" ht="16.5" thickBot="1">
      <c r="B53" s="11"/>
      <c r="C53" s="256"/>
      <c r="D53" s="1">
        <f>IF(OR(G53&lt;0,G53=""),1,0)</f>
        <v>0</v>
      </c>
      <c r="E53" s="315" t="s">
        <v>170</v>
      </c>
      <c r="F53" s="7" t="s">
        <v>1</v>
      </c>
      <c r="G53" s="541">
        <v>0.06</v>
      </c>
      <c r="H53" s="181"/>
      <c r="I53" s="13" t="s">
        <v>8</v>
      </c>
      <c r="J53" s="289"/>
      <c r="K53" s="17"/>
      <c r="L53" s="188"/>
      <c r="M53" s="211"/>
      <c r="N53" s="17"/>
      <c r="O53" s="343" t="s">
        <v>209</v>
      </c>
      <c r="P53" s="276" t="str">
        <f>F19</f>
        <v>$/Watt dc</v>
      </c>
      <c r="Q53" s="402"/>
      <c r="R53" s="17"/>
      <c r="S53" s="13" t="s">
        <v>8</v>
      </c>
      <c r="T53" s="17"/>
      <c r="U53" s="17"/>
      <c r="AB53" s="147"/>
    </row>
    <row r="54" spans="2:28" ht="16.5" thickBot="1">
      <c r="B54" s="11"/>
      <c r="C54" s="253"/>
      <c r="D54" s="1">
        <f>IF(OR(G54&lt;0,G54=""),1,0)</f>
        <v>0</v>
      </c>
      <c r="E54" s="350" t="s">
        <v>49</v>
      </c>
      <c r="F54" s="322" t="s">
        <v>1</v>
      </c>
      <c r="G54" s="351">
        <v>0.03</v>
      </c>
      <c r="H54" s="162"/>
      <c r="I54" s="13" t="s">
        <v>8</v>
      </c>
      <c r="J54" s="288"/>
      <c r="K54" s="17"/>
      <c r="L54" s="188"/>
      <c r="M54" s="17"/>
      <c r="N54" s="17"/>
      <c r="R54" s="17"/>
      <c r="T54" s="17"/>
      <c r="U54" s="17"/>
      <c r="AB54" s="147"/>
    </row>
    <row r="55" spans="2:28" ht="16.5" thickBot="1">
      <c r="B55" s="11"/>
      <c r="C55" s="253"/>
      <c r="E55" s="352" t="s">
        <v>180</v>
      </c>
      <c r="F55" s="353"/>
      <c r="G55" s="354">
        <v>1.2</v>
      </c>
      <c r="H55" s="169"/>
      <c r="I55" s="13" t="s">
        <v>8</v>
      </c>
      <c r="J55" s="288"/>
      <c r="K55" s="17"/>
      <c r="L55" s="188"/>
      <c r="M55" s="17"/>
      <c r="N55" s="17"/>
      <c r="O55" s="5" t="s">
        <v>46</v>
      </c>
      <c r="P55" s="232" t="s">
        <v>236</v>
      </c>
      <c r="Q55" s="294" t="s">
        <v>265</v>
      </c>
      <c r="R55" s="17"/>
      <c r="S55" s="17"/>
      <c r="T55" s="17"/>
      <c r="U55" s="17"/>
      <c r="AB55" s="147"/>
    </row>
    <row r="56" spans="2:28" ht="15.75">
      <c r="B56" s="11"/>
      <c r="E56" s="355" t="s">
        <v>181</v>
      </c>
      <c r="F56" s="149">
        <f>MAX('Cash Flow'!G42:AJ42)</f>
        <v>5</v>
      </c>
      <c r="G56" s="356">
        <f>ROUND('Cash Flow'!$F$41,2)</f>
        <v>1.3</v>
      </c>
      <c r="H56" s="170"/>
      <c r="I56" s="13" t="s">
        <v>8</v>
      </c>
      <c r="J56" s="288"/>
      <c r="K56" s="17"/>
      <c r="L56" s="188"/>
      <c r="M56" s="17"/>
      <c r="N56" s="17"/>
      <c r="O56" s="403" t="s">
        <v>45</v>
      </c>
      <c r="P56" s="404"/>
      <c r="Q56" s="405"/>
      <c r="R56" s="17"/>
      <c r="S56" s="17"/>
      <c r="T56" s="17"/>
      <c r="AB56" s="147"/>
    </row>
    <row r="57" spans="2:28" ht="15.75">
      <c r="B57" s="11"/>
      <c r="C57" s="253"/>
      <c r="E57" s="355" t="s">
        <v>263</v>
      </c>
      <c r="F57" s="10" t="s">
        <v>161</v>
      </c>
      <c r="G57" s="357" t="str">
        <f>IF($G$56&gt;=$G$55,"Pass","Fail")</f>
        <v>Pass</v>
      </c>
      <c r="H57" s="293"/>
      <c r="I57" s="13" t="s">
        <v>8</v>
      </c>
      <c r="J57" s="289"/>
      <c r="K57" s="17"/>
      <c r="L57" s="188"/>
      <c r="M57" s="258"/>
      <c r="N57" s="17"/>
      <c r="O57" s="406" t="s">
        <v>47</v>
      </c>
      <c r="P57" s="295"/>
      <c r="Q57" s="400" t="s">
        <v>257</v>
      </c>
      <c r="R57" s="17"/>
      <c r="S57" s="13" t="s">
        <v>8</v>
      </c>
      <c r="T57" s="17"/>
      <c r="U57" s="17"/>
      <c r="AB57" s="147"/>
    </row>
    <row r="58" spans="2:28" ht="16.5" thickBot="1">
      <c r="B58" s="11"/>
      <c r="C58" s="253"/>
      <c r="E58" s="355" t="s">
        <v>206</v>
      </c>
      <c r="F58" s="10"/>
      <c r="G58" s="358">
        <v>1.3</v>
      </c>
      <c r="H58" s="169"/>
      <c r="I58" s="13" t="s">
        <v>8</v>
      </c>
      <c r="J58" s="288"/>
      <c r="K58" s="17"/>
      <c r="L58" s="188"/>
      <c r="M58" s="259"/>
      <c r="N58" s="17"/>
      <c r="O58" s="343" t="s">
        <v>48</v>
      </c>
      <c r="P58" s="276" t="s">
        <v>0</v>
      </c>
      <c r="Q58" s="363">
        <v>0</v>
      </c>
      <c r="R58" s="17"/>
      <c r="S58" s="13" t="s">
        <v>8</v>
      </c>
      <c r="T58" s="17"/>
      <c r="U58" s="266"/>
      <c r="AB58" s="147"/>
    </row>
    <row r="59" spans="2:28" ht="16.5" thickBot="1">
      <c r="B59" s="11"/>
      <c r="E59" s="355" t="s">
        <v>205</v>
      </c>
      <c r="F59" s="149"/>
      <c r="G59" s="356">
        <f>ROUND('Cash Flow'!$E$41,2)</f>
        <v>1.32</v>
      </c>
      <c r="H59" s="170"/>
      <c r="I59" s="13" t="s">
        <v>8</v>
      </c>
      <c r="J59" s="288"/>
      <c r="K59" s="17"/>
      <c r="L59" s="188"/>
      <c r="U59" s="266"/>
      <c r="AB59" s="147"/>
    </row>
    <row r="60" spans="2:28" ht="16.5" thickBot="1">
      <c r="B60" s="11"/>
      <c r="C60" s="253"/>
      <c r="E60" s="335" t="s">
        <v>264</v>
      </c>
      <c r="F60" s="336" t="s">
        <v>161</v>
      </c>
      <c r="G60" s="359" t="str">
        <f>IF($G$59&gt;=$G$58,"Pass","Fail")</f>
        <v>Pass</v>
      </c>
      <c r="H60" s="293"/>
      <c r="I60" s="13" t="s">
        <v>8</v>
      </c>
      <c r="J60" s="288"/>
      <c r="K60" s="17"/>
      <c r="L60" s="188"/>
      <c r="M60" s="17"/>
      <c r="N60" s="17"/>
      <c r="O60" s="5" t="s">
        <v>39</v>
      </c>
      <c r="P60" s="232" t="s">
        <v>236</v>
      </c>
      <c r="Q60" s="294" t="s">
        <v>265</v>
      </c>
      <c r="R60" s="17"/>
      <c r="S60" s="17"/>
      <c r="T60" s="17"/>
      <c r="U60" s="262"/>
      <c r="AB60" s="147"/>
    </row>
    <row r="61" spans="2:28" ht="15.75">
      <c r="B61" s="11"/>
      <c r="E61" s="333" t="s">
        <v>267</v>
      </c>
      <c r="F61" s="313" t="s">
        <v>1</v>
      </c>
      <c r="G61" s="360">
        <f>1-G51</f>
        <v>0.65</v>
      </c>
      <c r="H61" s="182"/>
      <c r="I61" s="13" t="s">
        <v>8</v>
      </c>
      <c r="J61" s="288"/>
      <c r="K61" s="17"/>
      <c r="L61" s="188"/>
      <c r="M61" s="17"/>
      <c r="N61" s="17"/>
      <c r="O61" s="407" t="s">
        <v>40</v>
      </c>
      <c r="P61" s="408"/>
      <c r="Q61" s="409"/>
      <c r="R61" s="17"/>
      <c r="S61" s="17"/>
      <c r="T61" s="17"/>
      <c r="U61" s="17"/>
      <c r="AB61" s="147"/>
    </row>
    <row r="62" spans="2:28" ht="16.5" thickBot="1">
      <c r="B62" s="11"/>
      <c r="C62" s="253"/>
      <c r="D62" s="1">
        <f>IF(OR(G62&lt;0,G62=""),1,0)</f>
        <v>0</v>
      </c>
      <c r="E62" s="361" t="s">
        <v>217</v>
      </c>
      <c r="F62" s="322" t="s">
        <v>1</v>
      </c>
      <c r="G62" s="550">
        <v>0.14</v>
      </c>
      <c r="H62" s="181"/>
      <c r="I62" s="13" t="s">
        <v>8</v>
      </c>
      <c r="J62" s="288"/>
      <c r="K62" s="17"/>
      <c r="L62" s="188"/>
      <c r="M62" s="259"/>
      <c r="N62" s="17"/>
      <c r="O62" s="315" t="s">
        <v>44</v>
      </c>
      <c r="P62" s="7" t="s">
        <v>37</v>
      </c>
      <c r="Q62" s="342">
        <v>6</v>
      </c>
      <c r="R62" s="17"/>
      <c r="S62" s="13" t="s">
        <v>8</v>
      </c>
      <c r="T62" s="17"/>
      <c r="U62" s="17"/>
      <c r="AB62" s="147"/>
    </row>
    <row r="63" spans="2:28" ht="16.5" thickBot="1">
      <c r="B63" s="11"/>
      <c r="E63" s="344" t="s">
        <v>255</v>
      </c>
      <c r="F63" s="313" t="s">
        <v>1</v>
      </c>
      <c r="G63" s="362">
        <f>(G62*F68)+(F67*G53*(1-G78))</f>
        <v>0.09363796317716</v>
      </c>
      <c r="I63" s="13" t="s">
        <v>8</v>
      </c>
      <c r="J63" s="147"/>
      <c r="K63" s="17"/>
      <c r="L63" s="188"/>
      <c r="M63" s="17"/>
      <c r="N63" s="17"/>
      <c r="O63" s="321" t="s">
        <v>43</v>
      </c>
      <c r="P63" s="322" t="s">
        <v>0</v>
      </c>
      <c r="Q63" s="410">
        <f>-'Cash Flow'!$G$85/12*$Q$62</f>
        <v>145531.8501608929</v>
      </c>
      <c r="R63" s="17"/>
      <c r="S63" s="13" t="s">
        <v>8</v>
      </c>
      <c r="T63" s="17"/>
      <c r="U63" s="17"/>
      <c r="AB63" s="147"/>
    </row>
    <row r="64" spans="2:28" ht="16.5" thickBot="1">
      <c r="B64" s="11"/>
      <c r="C64" s="253"/>
      <c r="E64" s="350" t="s">
        <v>150</v>
      </c>
      <c r="F64" s="322" t="s">
        <v>0</v>
      </c>
      <c r="G64" s="363">
        <v>0</v>
      </c>
      <c r="H64" s="178"/>
      <c r="I64" s="13" t="s">
        <v>8</v>
      </c>
      <c r="J64" s="147"/>
      <c r="K64" s="17"/>
      <c r="L64" s="188"/>
      <c r="M64" s="17"/>
      <c r="N64" s="17"/>
      <c r="O64" s="407" t="s">
        <v>52</v>
      </c>
      <c r="P64" s="408"/>
      <c r="Q64" s="411"/>
      <c r="R64" s="17"/>
      <c r="S64" s="17"/>
      <c r="T64" s="17"/>
      <c r="U64" s="17"/>
      <c r="AB64" s="147"/>
    </row>
    <row r="65" spans="2:28" ht="16.5" thickBot="1">
      <c r="B65" s="11"/>
      <c r="J65" s="147"/>
      <c r="K65" s="17"/>
      <c r="L65" s="188"/>
      <c r="M65" s="259"/>
      <c r="N65" s="17"/>
      <c r="O65" s="340" t="s">
        <v>41</v>
      </c>
      <c r="P65" s="7" t="s">
        <v>37</v>
      </c>
      <c r="Q65" s="342">
        <v>6</v>
      </c>
      <c r="R65" s="17"/>
      <c r="S65" s="13" t="s">
        <v>8</v>
      </c>
      <c r="T65" s="17"/>
      <c r="AB65" s="147"/>
    </row>
    <row r="66" spans="2:28" ht="16.5" thickBot="1">
      <c r="B66" s="188"/>
      <c r="E66" s="200" t="s">
        <v>204</v>
      </c>
      <c r="F66" s="26"/>
      <c r="G66" s="201"/>
      <c r="J66" s="147"/>
      <c r="L66" s="188"/>
      <c r="M66" s="17"/>
      <c r="N66" s="17"/>
      <c r="O66" s="343" t="s">
        <v>42</v>
      </c>
      <c r="P66" s="322" t="s">
        <v>0</v>
      </c>
      <c r="Q66" s="410">
        <f>-(AVERAGE('Cash Flow'!G36:AJ36)/12*$Q$65)</f>
        <v>43469.92610328318</v>
      </c>
      <c r="R66" s="17"/>
      <c r="S66" s="13" t="s">
        <v>8</v>
      </c>
      <c r="T66" s="17"/>
      <c r="U66" s="17"/>
      <c r="AB66" s="147"/>
    </row>
    <row r="67" spans="2:28" ht="16.5" thickBot="1">
      <c r="B67" s="188"/>
      <c r="E67" s="344" t="s">
        <v>202</v>
      </c>
      <c r="F67" s="447">
        <f>G67/$G$70</f>
        <v>0.27929708474123666</v>
      </c>
      <c r="G67" s="364">
        <f>'Cash Flow'!F82</f>
        <v>1226066.1905282422</v>
      </c>
      <c r="I67" s="13" t="s">
        <v>8</v>
      </c>
      <c r="J67" s="147"/>
      <c r="K67" s="17"/>
      <c r="L67" s="188"/>
      <c r="M67" s="259"/>
      <c r="N67" s="17"/>
      <c r="O67" s="413" t="s">
        <v>133</v>
      </c>
      <c r="P67" s="324" t="s">
        <v>1</v>
      </c>
      <c r="Q67" s="412">
        <v>0.02</v>
      </c>
      <c r="R67" s="17"/>
      <c r="S67" s="13" t="s">
        <v>8</v>
      </c>
      <c r="T67" s="17"/>
      <c r="AB67" s="147"/>
    </row>
    <row r="68" spans="2:28" ht="16.5" thickBot="1">
      <c r="B68" s="188"/>
      <c r="E68" s="315" t="s">
        <v>203</v>
      </c>
      <c r="F68" s="446">
        <f>G68/$G$70</f>
        <v>0.5832639723786798</v>
      </c>
      <c r="G68" s="345">
        <f>-'Cash Flow'!$F$52</f>
        <v>2560428.57500372</v>
      </c>
      <c r="I68" s="13" t="s">
        <v>8</v>
      </c>
      <c r="J68" s="147"/>
      <c r="L68" s="11"/>
      <c r="AB68" s="147"/>
    </row>
    <row r="69" spans="2:28" ht="16.5" thickBot="1">
      <c r="B69" s="11"/>
      <c r="E69" s="365" t="s">
        <v>260</v>
      </c>
      <c r="F69" s="448">
        <f>G69/$G$70</f>
        <v>0.13743894288008363</v>
      </c>
      <c r="G69" s="555">
        <f>IF($Q$30="Yes",$Q$29*(1-$G$74),$Q$29)+IF($Q$47="Yes",IF($Q$46=0,($Q$45*$G$8*1000)*(1-$G$76),MIN($Q$46*(1-$G$76),($Q$45*$G$8*1000)*(1-$G$76))),IF($Q$46=0,$Q$45*$G$8*1000,MIN($Q$46,$Q$45*$G$8*1000)))</f>
        <v>603333.3333333334</v>
      </c>
      <c r="I69" s="13" t="s">
        <v>8</v>
      </c>
      <c r="J69" s="147"/>
      <c r="L69" s="11"/>
      <c r="O69" s="301" t="s">
        <v>84</v>
      </c>
      <c r="P69" s="432" t="s">
        <v>266</v>
      </c>
      <c r="Q69" s="432"/>
      <c r="R69" s="432"/>
      <c r="S69" s="432"/>
      <c r="T69" s="432"/>
      <c r="U69" s="432"/>
      <c r="V69" s="432"/>
      <c r="W69" s="432"/>
      <c r="X69" s="432"/>
      <c r="Y69" s="432"/>
      <c r="Z69" s="201"/>
      <c r="AB69" s="147"/>
    </row>
    <row r="70" spans="2:28" ht="17.25" thickBot="1" thickTop="1">
      <c r="B70" s="188"/>
      <c r="E70" s="366" t="s">
        <v>123</v>
      </c>
      <c r="F70" s="367" t="s">
        <v>0</v>
      </c>
      <c r="G70" s="368">
        <f>SUM(G67:G69)</f>
        <v>4389828.098865295</v>
      </c>
      <c r="I70" s="13" t="s">
        <v>8</v>
      </c>
      <c r="J70" s="147"/>
      <c r="L70" s="11"/>
      <c r="M70" s="257"/>
      <c r="N70" s="17"/>
      <c r="O70" s="396" t="s">
        <v>269</v>
      </c>
      <c r="P70" s="389" t="s">
        <v>12</v>
      </c>
      <c r="S70" s="300" t="s">
        <v>8</v>
      </c>
      <c r="Z70" s="147"/>
      <c r="AB70" s="147"/>
    </row>
    <row r="71" spans="2:28" ht="16.5" thickBot="1">
      <c r="B71" s="11"/>
      <c r="J71" s="147"/>
      <c r="L71" s="11"/>
      <c r="M71" s="259"/>
      <c r="O71" s="321" t="s">
        <v>270</v>
      </c>
      <c r="P71" s="554">
        <v>1</v>
      </c>
      <c r="S71" s="13" t="s">
        <v>8</v>
      </c>
      <c r="Z71" s="195"/>
      <c r="AB71" s="147"/>
    </row>
    <row r="72" spans="2:28" ht="16.5" thickBot="1">
      <c r="B72" s="11"/>
      <c r="E72" s="5" t="s">
        <v>142</v>
      </c>
      <c r="F72" s="232" t="s">
        <v>236</v>
      </c>
      <c r="G72" s="294" t="s">
        <v>265</v>
      </c>
      <c r="H72" s="183"/>
      <c r="I72" s="19"/>
      <c r="J72" s="147"/>
      <c r="L72" s="11"/>
      <c r="M72" s="17"/>
      <c r="N72" s="17"/>
      <c r="O72" s="414" t="s">
        <v>280</v>
      </c>
      <c r="P72" s="415" t="s">
        <v>21</v>
      </c>
      <c r="Q72" s="469" t="s">
        <v>116</v>
      </c>
      <c r="R72" s="635" t="s">
        <v>22</v>
      </c>
      <c r="S72" s="636"/>
      <c r="T72" s="637"/>
      <c r="U72" s="415" t="s">
        <v>117</v>
      </c>
      <c r="V72" s="415" t="s">
        <v>118</v>
      </c>
      <c r="W72" s="415" t="s">
        <v>23</v>
      </c>
      <c r="X72" s="415" t="s">
        <v>24</v>
      </c>
      <c r="Y72" s="415" t="s">
        <v>119</v>
      </c>
      <c r="Z72" s="416" t="s">
        <v>25</v>
      </c>
      <c r="AB72" s="147"/>
    </row>
    <row r="73" spans="2:28" ht="16.5" thickBot="1">
      <c r="B73" s="11"/>
      <c r="C73" s="257"/>
      <c r="E73" s="323" t="s">
        <v>17</v>
      </c>
      <c r="F73" s="369"/>
      <c r="G73" s="370" t="s">
        <v>12</v>
      </c>
      <c r="H73" s="172"/>
      <c r="I73" s="13" t="s">
        <v>8</v>
      </c>
      <c r="J73" s="147"/>
      <c r="L73" s="11">
        <f>IF(AND($G$73="Yes",$G$18="Simple"),1,0)</f>
        <v>0</v>
      </c>
      <c r="M73" s="17"/>
      <c r="N73" s="144">
        <f>IF(AND($G$18="Simple",SUM(P73:Z73)=1),1,IF(AND($G$18="Simple",SUM(P73:Z73)&lt;&gt;1),2,0))</f>
        <v>0</v>
      </c>
      <c r="O73" s="417" t="str">
        <f aca="true" t="shared" si="0" ref="O73:O78">E19</f>
        <v>Total Installed Cost</v>
      </c>
      <c r="P73" s="418">
        <v>0.94</v>
      </c>
      <c r="Q73" s="470">
        <v>0</v>
      </c>
      <c r="R73" s="638">
        <v>0.015</v>
      </c>
      <c r="S73" s="639"/>
      <c r="T73" s="640"/>
      <c r="U73" s="418">
        <v>0.01</v>
      </c>
      <c r="V73" s="418">
        <v>0</v>
      </c>
      <c r="W73" s="418">
        <v>0</v>
      </c>
      <c r="X73" s="418">
        <v>0.01</v>
      </c>
      <c r="Y73" s="418">
        <v>0</v>
      </c>
      <c r="Z73" s="419">
        <v>0.025</v>
      </c>
      <c r="AB73" s="184" t="s">
        <v>8</v>
      </c>
    </row>
    <row r="74" spans="2:28" ht="15.75">
      <c r="B74" s="11"/>
      <c r="C74" s="253"/>
      <c r="D74" s="1">
        <f>IF(OR(G74&lt;0,G74=""),1,0)</f>
        <v>0</v>
      </c>
      <c r="E74" s="312" t="s">
        <v>6</v>
      </c>
      <c r="F74" s="313" t="s">
        <v>1</v>
      </c>
      <c r="G74" s="549">
        <v>0.21</v>
      </c>
      <c r="H74" s="162"/>
      <c r="I74" s="13" t="s">
        <v>8</v>
      </c>
      <c r="J74" s="288"/>
      <c r="L74" s="11">
        <f>IF(AND($G$73="Yes",$G$18="Intermediate"),1,0)</f>
        <v>1</v>
      </c>
      <c r="M74" s="17"/>
      <c r="N74" s="144">
        <f>IF(AND($G$18="Intermediate",SUM(P74:Z74)=1),1,IF(AND($G$18="Intermediate",SUM(P74:Z74)&lt;&gt;1),2,0))</f>
        <v>1</v>
      </c>
      <c r="O74" s="420" t="str">
        <f t="shared" si="0"/>
        <v>Generation Equipment</v>
      </c>
      <c r="P74" s="421">
        <v>0.96</v>
      </c>
      <c r="Q74" s="471">
        <v>0</v>
      </c>
      <c r="R74" s="641">
        <v>0.02</v>
      </c>
      <c r="S74" s="642"/>
      <c r="T74" s="643"/>
      <c r="U74" s="421">
        <v>0</v>
      </c>
      <c r="V74" s="421">
        <v>0</v>
      </c>
      <c r="W74" s="421">
        <v>0</v>
      </c>
      <c r="X74" s="421">
        <v>0.02</v>
      </c>
      <c r="Y74" s="421">
        <v>0</v>
      </c>
      <c r="Z74" s="422">
        <v>0</v>
      </c>
      <c r="AB74" s="184" t="s">
        <v>8</v>
      </c>
    </row>
    <row r="75" spans="2:28" ht="16.5" thickBot="1">
      <c r="B75" s="11"/>
      <c r="C75" s="257"/>
      <c r="E75" s="371" t="s">
        <v>231</v>
      </c>
      <c r="F75" s="372"/>
      <c r="G75" s="373" t="s">
        <v>259</v>
      </c>
      <c r="H75" s="172"/>
      <c r="I75" s="13" t="s">
        <v>8</v>
      </c>
      <c r="J75" s="147"/>
      <c r="L75" s="11">
        <f>IF(AND($G$73="Yes",$G$18="Intermediate"),1,0)</f>
        <v>1</v>
      </c>
      <c r="M75" s="17"/>
      <c r="N75" s="144">
        <f>IF(AND($G$18="Intermediate",SUM(P75:Z75)=1),1,IF(AND($G$18="Intermediate",SUM(P75:Z75)&lt;&gt;1),2,0))</f>
        <v>1</v>
      </c>
      <c r="O75" s="423" t="str">
        <f t="shared" si="0"/>
        <v>Balance of Plant</v>
      </c>
      <c r="P75" s="251">
        <v>0.5</v>
      </c>
      <c r="Q75" s="467">
        <v>0</v>
      </c>
      <c r="R75" s="624">
        <v>0</v>
      </c>
      <c r="S75" s="625"/>
      <c r="T75" s="626"/>
      <c r="U75" s="251">
        <v>0</v>
      </c>
      <c r="V75" s="251">
        <v>0</v>
      </c>
      <c r="W75" s="251">
        <v>0.5</v>
      </c>
      <c r="X75" s="251">
        <v>0</v>
      </c>
      <c r="Y75" s="251">
        <v>0</v>
      </c>
      <c r="Z75" s="424">
        <v>0</v>
      </c>
      <c r="AB75" s="184" t="s">
        <v>8</v>
      </c>
    </row>
    <row r="76" spans="2:28" ht="15.75">
      <c r="B76" s="11"/>
      <c r="C76" s="253"/>
      <c r="D76" s="1">
        <f>IF(OR(G76&lt;0,G76=""),1,0)</f>
        <v>0</v>
      </c>
      <c r="E76" s="312" t="s">
        <v>7</v>
      </c>
      <c r="F76" s="313" t="s">
        <v>1</v>
      </c>
      <c r="G76" s="549">
        <v>0.095</v>
      </c>
      <c r="H76" s="162"/>
      <c r="I76" s="13" t="s">
        <v>8</v>
      </c>
      <c r="J76" s="288"/>
      <c r="L76" s="11">
        <f>IF(AND($G$73="Yes",$G$18="Intermediate"),1,0)</f>
        <v>1</v>
      </c>
      <c r="M76" s="17"/>
      <c r="N76" s="144">
        <f>IF(AND($G$18="Intermediate",SUM(P76:Z76)=1),1,IF(AND($G$18="Intermediate",SUM(P76:Z76)&lt;&gt;1),2,0))</f>
        <v>1</v>
      </c>
      <c r="O76" s="423" t="str">
        <f t="shared" si="0"/>
        <v>Interconnection</v>
      </c>
      <c r="P76" s="251">
        <v>0</v>
      </c>
      <c r="Q76" s="467">
        <v>0</v>
      </c>
      <c r="R76" s="624">
        <v>1</v>
      </c>
      <c r="S76" s="625"/>
      <c r="T76" s="626"/>
      <c r="U76" s="251">
        <v>0</v>
      </c>
      <c r="V76" s="251">
        <v>0</v>
      </c>
      <c r="W76" s="251">
        <v>0</v>
      </c>
      <c r="X76" s="251">
        <v>0</v>
      </c>
      <c r="Y76" s="251">
        <v>0</v>
      </c>
      <c r="Z76" s="424">
        <v>0</v>
      </c>
      <c r="AB76" s="184" t="s">
        <v>8</v>
      </c>
    </row>
    <row r="77" spans="2:28" ht="16.5" thickBot="1">
      <c r="B77" s="11"/>
      <c r="C77" s="257"/>
      <c r="E77" s="371" t="s">
        <v>232</v>
      </c>
      <c r="F77" s="372"/>
      <c r="G77" s="373" t="s">
        <v>259</v>
      </c>
      <c r="H77" s="172"/>
      <c r="I77" s="13" t="s">
        <v>8</v>
      </c>
      <c r="J77" s="288"/>
      <c r="L77" s="11">
        <f>IF(AND($G$73="Yes",$G$18="Intermediate"),1,0)</f>
        <v>1</v>
      </c>
      <c r="M77" s="17"/>
      <c r="N77" s="144">
        <f>IF(AND($G$18="Intermediate",SUM(P77:Z77)=1),1,IF(AND($G$18="Intermediate",SUM(P77:Z77)&lt;&gt;1),2,0))</f>
        <v>1</v>
      </c>
      <c r="O77" s="423" t="str">
        <f t="shared" si="0"/>
        <v>Development Costs &amp; Fee</v>
      </c>
      <c r="P77" s="251">
        <v>0.8</v>
      </c>
      <c r="Q77" s="467">
        <v>0</v>
      </c>
      <c r="R77" s="624">
        <v>0</v>
      </c>
      <c r="S77" s="625"/>
      <c r="T77" s="626"/>
      <c r="U77" s="251">
        <v>0</v>
      </c>
      <c r="V77" s="251">
        <v>0</v>
      </c>
      <c r="W77" s="251">
        <v>0.05</v>
      </c>
      <c r="X77" s="251">
        <v>0.05</v>
      </c>
      <c r="Y77" s="251">
        <v>0</v>
      </c>
      <c r="Z77" s="424">
        <v>0.1</v>
      </c>
      <c r="AB77" s="184" t="s">
        <v>8</v>
      </c>
    </row>
    <row r="78" spans="2:28" ht="16.5" thickBot="1">
      <c r="B78" s="11"/>
      <c r="E78" s="374" t="s">
        <v>31</v>
      </c>
      <c r="F78" s="375" t="s">
        <v>1</v>
      </c>
      <c r="G78" s="376">
        <f>IF($G$73="Yes",$G$74+(G76*(1-$G$74)),0%)</f>
        <v>0.28505</v>
      </c>
      <c r="H78" s="185"/>
      <c r="I78" s="13" t="s">
        <v>8</v>
      </c>
      <c r="J78" s="288"/>
      <c r="L78" s="11">
        <f>IF(AND($G$73="Yes",$G$18="Intermediate"),1,0)</f>
        <v>1</v>
      </c>
      <c r="M78" s="17"/>
      <c r="N78" s="144">
        <f>IF(AND($G$18="Intermediate",SUM(P78:Z78)=1),1,IF(AND($G$18="Intermediate",SUM(P78:Z78)&lt;&gt;1),2,0))</f>
        <v>1</v>
      </c>
      <c r="O78" s="425" t="str">
        <f t="shared" si="0"/>
        <v>Reserves &amp; Financing Costs</v>
      </c>
      <c r="P78" s="426">
        <v>0</v>
      </c>
      <c r="Q78" s="468">
        <v>0</v>
      </c>
      <c r="R78" s="627">
        <v>0</v>
      </c>
      <c r="S78" s="628"/>
      <c r="T78" s="629"/>
      <c r="U78" s="426">
        <v>0</v>
      </c>
      <c r="V78" s="426">
        <v>0</v>
      </c>
      <c r="W78" s="426">
        <v>0</v>
      </c>
      <c r="X78" s="426">
        <v>0.5</v>
      </c>
      <c r="Y78" s="426">
        <v>0</v>
      </c>
      <c r="Z78" s="427">
        <v>0.5</v>
      </c>
      <c r="AB78" s="184" t="s">
        <v>8</v>
      </c>
    </row>
    <row r="79" spans="2:28" ht="16.5" thickBot="1">
      <c r="B79" s="186"/>
      <c r="C79" s="80"/>
      <c r="D79" s="80"/>
      <c r="E79" s="321" t="s">
        <v>84</v>
      </c>
      <c r="F79" s="275"/>
      <c r="G79" s="377" t="s">
        <v>88</v>
      </c>
      <c r="H79" s="277"/>
      <c r="I79" s="278" t="s">
        <v>8</v>
      </c>
      <c r="J79" s="195"/>
      <c r="L79" s="186">
        <f>IF(AND($G$73="Yes",$G$18="Complex"),1,0)</f>
        <v>0</v>
      </c>
      <c r="M79" s="196"/>
      <c r="N79" s="196"/>
      <c r="O79" s="428" t="s">
        <v>256</v>
      </c>
      <c r="P79" s="429"/>
      <c r="Q79" s="430"/>
      <c r="R79" s="630"/>
      <c r="S79" s="631"/>
      <c r="T79" s="632"/>
      <c r="U79" s="429"/>
      <c r="V79" s="429"/>
      <c r="W79" s="429"/>
      <c r="X79" s="429"/>
      <c r="Y79" s="429"/>
      <c r="Z79" s="431"/>
      <c r="AA79" s="80"/>
      <c r="AB79" s="302" t="s">
        <v>8</v>
      </c>
    </row>
    <row r="80" ht="15"/>
    <row r="81" ht="15.75" thickBot="1"/>
    <row r="82" spans="2:28" ht="15.75">
      <c r="B82" s="236"/>
      <c r="C82" s="237"/>
      <c r="D82" s="237"/>
      <c r="E82" s="248" t="s">
        <v>237</v>
      </c>
      <c r="F82" s="237"/>
      <c r="G82" s="237"/>
      <c r="H82" s="237"/>
      <c r="I82" s="237"/>
      <c r="J82" s="237"/>
      <c r="K82" s="237"/>
      <c r="L82" s="237"/>
      <c r="M82" s="238"/>
      <c r="N82" s="238"/>
      <c r="O82" s="238"/>
      <c r="P82" s="238"/>
      <c r="Q82" s="238"/>
      <c r="R82" s="238"/>
      <c r="S82" s="238"/>
      <c r="T82" s="238"/>
      <c r="U82" s="238"/>
      <c r="V82" s="237"/>
      <c r="W82" s="237"/>
      <c r="X82" s="237"/>
      <c r="Y82" s="237"/>
      <c r="Z82" s="237"/>
      <c r="AA82" s="237"/>
      <c r="AB82" s="239"/>
    </row>
    <row r="83" spans="2:28" ht="15.75">
      <c r="B83" s="240"/>
      <c r="C83" s="234"/>
      <c r="D83" s="234"/>
      <c r="E83" s="241" t="s">
        <v>239</v>
      </c>
      <c r="F83" s="234"/>
      <c r="G83" s="234"/>
      <c r="H83" s="234"/>
      <c r="I83" s="234"/>
      <c r="J83" s="234"/>
      <c r="K83" s="234"/>
      <c r="L83" s="234"/>
      <c r="M83" s="235"/>
      <c r="N83" s="235"/>
      <c r="O83" s="235"/>
      <c r="P83" s="235"/>
      <c r="Q83" s="235"/>
      <c r="R83" s="235"/>
      <c r="S83" s="235"/>
      <c r="T83" s="235"/>
      <c r="U83" s="235"/>
      <c r="V83" s="234"/>
      <c r="W83" s="234"/>
      <c r="X83" s="234"/>
      <c r="Y83" s="234"/>
      <c r="Z83" s="234"/>
      <c r="AA83" s="234"/>
      <c r="AB83" s="242"/>
    </row>
    <row r="84" spans="2:28" ht="15.75">
      <c r="B84" s="240"/>
      <c r="C84" s="234"/>
      <c r="D84" s="234"/>
      <c r="E84" s="241" t="s">
        <v>240</v>
      </c>
      <c r="F84" s="234"/>
      <c r="G84" s="234"/>
      <c r="H84" s="234"/>
      <c r="I84" s="234"/>
      <c r="J84" s="234"/>
      <c r="K84" s="234"/>
      <c r="L84" s="234"/>
      <c r="M84" s="235"/>
      <c r="N84" s="235"/>
      <c r="O84" s="235"/>
      <c r="P84" s="235"/>
      <c r="Q84" s="235"/>
      <c r="R84" s="235"/>
      <c r="S84" s="235"/>
      <c r="T84" s="235"/>
      <c r="U84" s="235"/>
      <c r="V84" s="234"/>
      <c r="W84" s="234"/>
      <c r="X84" s="234"/>
      <c r="Y84" s="234"/>
      <c r="Z84" s="234"/>
      <c r="AA84" s="234"/>
      <c r="AB84" s="242"/>
    </row>
    <row r="85" spans="2:28" ht="15.75">
      <c r="B85" s="240"/>
      <c r="C85" s="234"/>
      <c r="D85" s="234"/>
      <c r="E85" s="241" t="s">
        <v>241</v>
      </c>
      <c r="F85" s="234"/>
      <c r="G85" s="234"/>
      <c r="H85" s="234"/>
      <c r="I85" s="234"/>
      <c r="J85" s="234"/>
      <c r="K85" s="234"/>
      <c r="L85" s="234"/>
      <c r="M85" s="235"/>
      <c r="N85" s="235"/>
      <c r="O85" s="235"/>
      <c r="P85" s="235"/>
      <c r="Q85" s="235"/>
      <c r="R85" s="235"/>
      <c r="S85" s="235"/>
      <c r="T85" s="235"/>
      <c r="U85" s="235"/>
      <c r="V85" s="234"/>
      <c r="W85" s="234"/>
      <c r="X85" s="234"/>
      <c r="Y85" s="234"/>
      <c r="Z85" s="234"/>
      <c r="AA85" s="234"/>
      <c r="AB85" s="242"/>
    </row>
    <row r="86" spans="2:28" ht="15.75">
      <c r="B86" s="240"/>
      <c r="C86" s="234"/>
      <c r="D86" s="234"/>
      <c r="E86" s="241" t="s">
        <v>242</v>
      </c>
      <c r="F86" s="234"/>
      <c r="G86" s="234"/>
      <c r="H86" s="234"/>
      <c r="I86" s="234"/>
      <c r="J86" s="234"/>
      <c r="K86" s="234"/>
      <c r="L86" s="234"/>
      <c r="M86" s="235"/>
      <c r="N86" s="235"/>
      <c r="O86" s="235"/>
      <c r="P86" s="235"/>
      <c r="Q86" s="235"/>
      <c r="R86" s="235"/>
      <c r="S86" s="235"/>
      <c r="T86" s="235"/>
      <c r="U86" s="235"/>
      <c r="V86" s="234"/>
      <c r="W86" s="234"/>
      <c r="X86" s="234"/>
      <c r="Y86" s="234"/>
      <c r="Z86" s="234"/>
      <c r="AA86" s="234"/>
      <c r="AB86" s="242"/>
    </row>
    <row r="87" spans="2:28" ht="15.75">
      <c r="B87" s="240"/>
      <c r="C87" s="234"/>
      <c r="D87" s="234"/>
      <c r="E87" s="241" t="s">
        <v>253</v>
      </c>
      <c r="F87" s="234"/>
      <c r="G87" s="234"/>
      <c r="H87" s="234"/>
      <c r="I87" s="234"/>
      <c r="J87" s="234"/>
      <c r="K87" s="234"/>
      <c r="L87" s="234"/>
      <c r="M87" s="235"/>
      <c r="N87" s="235"/>
      <c r="O87" s="235"/>
      <c r="P87" s="235"/>
      <c r="Q87" s="235"/>
      <c r="R87" s="235"/>
      <c r="S87" s="235"/>
      <c r="T87" s="235"/>
      <c r="U87" s="235"/>
      <c r="V87" s="234"/>
      <c r="W87" s="234"/>
      <c r="X87" s="234"/>
      <c r="Y87" s="234"/>
      <c r="Z87" s="234"/>
      <c r="AA87" s="234"/>
      <c r="AB87" s="242"/>
    </row>
    <row r="88" spans="2:28" ht="15.75">
      <c r="B88" s="240"/>
      <c r="C88" s="234"/>
      <c r="D88" s="234"/>
      <c r="E88" s="241" t="s">
        <v>254</v>
      </c>
      <c r="F88" s="234"/>
      <c r="G88" s="234"/>
      <c r="H88" s="234"/>
      <c r="I88" s="234"/>
      <c r="J88" s="234"/>
      <c r="K88" s="234"/>
      <c r="L88" s="234"/>
      <c r="M88" s="235"/>
      <c r="N88" s="235"/>
      <c r="O88" s="235"/>
      <c r="P88" s="235"/>
      <c r="Q88" s="235"/>
      <c r="R88" s="235"/>
      <c r="S88" s="235"/>
      <c r="T88" s="235"/>
      <c r="U88" s="235"/>
      <c r="V88" s="234"/>
      <c r="W88" s="234"/>
      <c r="X88" s="234"/>
      <c r="Y88" s="234"/>
      <c r="Z88" s="234"/>
      <c r="AA88" s="234"/>
      <c r="AB88" s="242"/>
    </row>
    <row r="89" spans="2:28" ht="15.75">
      <c r="B89" s="240"/>
      <c r="C89" s="234"/>
      <c r="D89" s="234"/>
      <c r="E89" s="241" t="s">
        <v>243</v>
      </c>
      <c r="F89" s="234"/>
      <c r="G89" s="234"/>
      <c r="H89" s="234"/>
      <c r="I89" s="234"/>
      <c r="J89" s="234"/>
      <c r="K89" s="234"/>
      <c r="L89" s="234"/>
      <c r="M89" s="235"/>
      <c r="N89" s="235"/>
      <c r="O89" s="235"/>
      <c r="P89" s="235"/>
      <c r="Q89" s="235"/>
      <c r="R89" s="235"/>
      <c r="S89" s="235"/>
      <c r="T89" s="235"/>
      <c r="U89" s="235"/>
      <c r="V89" s="234"/>
      <c r="W89" s="234"/>
      <c r="X89" s="234"/>
      <c r="Y89" s="234"/>
      <c r="Z89" s="234"/>
      <c r="AA89" s="234"/>
      <c r="AB89" s="242"/>
    </row>
    <row r="90" spans="2:28" ht="15.75">
      <c r="B90" s="240"/>
      <c r="C90" s="234"/>
      <c r="D90" s="234"/>
      <c r="E90" s="241" t="s">
        <v>244</v>
      </c>
      <c r="F90" s="234"/>
      <c r="G90" s="234"/>
      <c r="H90" s="234"/>
      <c r="I90" s="234"/>
      <c r="J90" s="234"/>
      <c r="K90" s="234"/>
      <c r="L90" s="234"/>
      <c r="M90" s="235"/>
      <c r="N90" s="235"/>
      <c r="O90" s="235"/>
      <c r="P90" s="235"/>
      <c r="Q90" s="235"/>
      <c r="R90" s="235"/>
      <c r="S90" s="235"/>
      <c r="T90" s="235"/>
      <c r="U90" s="235"/>
      <c r="V90" s="234"/>
      <c r="W90" s="234"/>
      <c r="X90" s="234"/>
      <c r="Y90" s="234"/>
      <c r="Z90" s="234"/>
      <c r="AA90" s="234"/>
      <c r="AB90" s="242"/>
    </row>
    <row r="91" spans="2:28" ht="15.75">
      <c r="B91" s="240"/>
      <c r="C91" s="234"/>
      <c r="D91" s="234"/>
      <c r="E91" s="241" t="s">
        <v>245</v>
      </c>
      <c r="F91" s="234"/>
      <c r="G91" s="234"/>
      <c r="H91" s="234"/>
      <c r="I91" s="234"/>
      <c r="J91" s="234"/>
      <c r="K91" s="235"/>
      <c r="L91" s="235"/>
      <c r="M91" s="235"/>
      <c r="N91" s="235"/>
      <c r="O91" s="235"/>
      <c r="P91" s="235"/>
      <c r="Q91" s="235"/>
      <c r="R91" s="235"/>
      <c r="S91" s="235"/>
      <c r="T91" s="235"/>
      <c r="U91" s="235"/>
      <c r="V91" s="234"/>
      <c r="W91" s="234"/>
      <c r="X91" s="234"/>
      <c r="Y91" s="234"/>
      <c r="Z91" s="234"/>
      <c r="AA91" s="234"/>
      <c r="AB91" s="242"/>
    </row>
    <row r="92" spans="2:28" ht="15.75">
      <c r="B92" s="240"/>
      <c r="C92" s="234"/>
      <c r="D92" s="234"/>
      <c r="E92" s="241" t="s">
        <v>246</v>
      </c>
      <c r="F92" s="234"/>
      <c r="G92" s="234"/>
      <c r="H92" s="234"/>
      <c r="I92" s="234"/>
      <c r="J92" s="234"/>
      <c r="K92" s="235"/>
      <c r="L92" s="235"/>
      <c r="M92" s="235"/>
      <c r="N92" s="235"/>
      <c r="O92" s="235"/>
      <c r="P92" s="235"/>
      <c r="Q92" s="235"/>
      <c r="R92" s="235"/>
      <c r="S92" s="235"/>
      <c r="T92" s="235"/>
      <c r="U92" s="235"/>
      <c r="V92" s="234"/>
      <c r="W92" s="234"/>
      <c r="X92" s="234"/>
      <c r="Y92" s="234"/>
      <c r="Z92" s="234"/>
      <c r="AA92" s="234"/>
      <c r="AB92" s="242"/>
    </row>
    <row r="93" spans="2:28" ht="15.75">
      <c r="B93" s="240"/>
      <c r="C93" s="234"/>
      <c r="D93" s="234"/>
      <c r="E93" s="241" t="s">
        <v>247</v>
      </c>
      <c r="F93" s="234"/>
      <c r="G93" s="234"/>
      <c r="H93" s="234"/>
      <c r="I93" s="234"/>
      <c r="J93" s="234"/>
      <c r="K93" s="235"/>
      <c r="L93" s="235"/>
      <c r="M93" s="235"/>
      <c r="N93" s="235"/>
      <c r="O93" s="235"/>
      <c r="P93" s="235"/>
      <c r="Q93" s="235"/>
      <c r="R93" s="235"/>
      <c r="S93" s="235"/>
      <c r="T93" s="235"/>
      <c r="U93" s="235"/>
      <c r="V93" s="234"/>
      <c r="W93" s="234"/>
      <c r="X93" s="234"/>
      <c r="Y93" s="234"/>
      <c r="Z93" s="234"/>
      <c r="AA93" s="234"/>
      <c r="AB93" s="242"/>
    </row>
    <row r="94" spans="2:28" ht="16.5" thickBot="1">
      <c r="B94" s="243"/>
      <c r="C94" s="244"/>
      <c r="D94" s="244"/>
      <c r="E94" s="245" t="s">
        <v>238</v>
      </c>
      <c r="F94" s="244"/>
      <c r="G94" s="244"/>
      <c r="H94" s="244"/>
      <c r="I94" s="244"/>
      <c r="J94" s="244"/>
      <c r="K94" s="246"/>
      <c r="L94" s="246"/>
      <c r="M94" s="246"/>
      <c r="N94" s="246"/>
      <c r="O94" s="246"/>
      <c r="P94" s="246"/>
      <c r="Q94" s="246"/>
      <c r="R94" s="246"/>
      <c r="S94" s="246"/>
      <c r="T94" s="246"/>
      <c r="U94" s="246"/>
      <c r="V94" s="244"/>
      <c r="W94" s="244"/>
      <c r="X94" s="244"/>
      <c r="Y94" s="244"/>
      <c r="Z94" s="244"/>
      <c r="AA94" s="244"/>
      <c r="AB94" s="247"/>
    </row>
    <row r="95" ht="15.75">
      <c r="E95"/>
    </row>
    <row r="96" spans="1:11" ht="15">
      <c r="A96" s="433"/>
      <c r="B96" s="433"/>
      <c r="C96" s="433"/>
      <c r="D96" s="434"/>
      <c r="E96" s="435"/>
      <c r="F96" s="433"/>
      <c r="G96" s="433"/>
      <c r="H96" s="433"/>
      <c r="I96" s="433"/>
      <c r="J96" s="433"/>
      <c r="K96" s="433"/>
    </row>
    <row r="97" spans="1:11" ht="15">
      <c r="A97" s="433"/>
      <c r="B97" s="433"/>
      <c r="C97" s="433"/>
      <c r="D97" s="433"/>
      <c r="E97" s="436"/>
      <c r="F97" s="433"/>
      <c r="G97" s="437"/>
      <c r="H97" s="433"/>
      <c r="I97" s="433"/>
      <c r="J97" s="433"/>
      <c r="K97" s="433"/>
    </row>
    <row r="98" spans="1:11" ht="15">
      <c r="A98" s="433"/>
      <c r="B98" s="433"/>
      <c r="C98" s="433"/>
      <c r="D98" s="433"/>
      <c r="E98" s="436"/>
      <c r="F98" s="433"/>
      <c r="G98" s="437"/>
      <c r="H98" s="433"/>
      <c r="I98" s="433"/>
      <c r="J98" s="433"/>
      <c r="K98" s="433"/>
    </row>
    <row r="99" spans="1:11" ht="15">
      <c r="A99" s="433"/>
      <c r="B99" s="433"/>
      <c r="C99" s="433"/>
      <c r="D99" s="433"/>
      <c r="E99" s="436"/>
      <c r="F99" s="433"/>
      <c r="G99" s="437"/>
      <c r="H99" s="433"/>
      <c r="I99" s="433"/>
      <c r="J99" s="433"/>
      <c r="K99" s="433"/>
    </row>
    <row r="100" spans="1:11" ht="15">
      <c r="A100" s="433"/>
      <c r="B100" s="433"/>
      <c r="C100" s="433"/>
      <c r="D100" s="433"/>
      <c r="E100" s="436"/>
      <c r="F100" s="433"/>
      <c r="G100" s="437"/>
      <c r="H100" s="433"/>
      <c r="I100" s="433"/>
      <c r="J100" s="433"/>
      <c r="K100" s="433"/>
    </row>
    <row r="101" spans="1:2" ht="15">
      <c r="A101" s="433"/>
      <c r="B101" s="433"/>
    </row>
    <row r="103" spans="12:28" ht="15">
      <c r="L103" s="433"/>
      <c r="M103" s="433"/>
      <c r="N103" s="433"/>
      <c r="O103" s="433"/>
      <c r="P103" s="433"/>
      <c r="Q103" s="433"/>
      <c r="R103" s="433"/>
      <c r="S103" s="433"/>
      <c r="T103" s="433"/>
      <c r="U103" s="433"/>
      <c r="V103" s="433"/>
      <c r="W103" s="433"/>
      <c r="X103" s="433"/>
      <c r="Y103" s="433"/>
      <c r="Z103" s="433"/>
      <c r="AA103" s="433"/>
      <c r="AB103" s="433"/>
    </row>
    <row r="104" spans="12:28" ht="15">
      <c r="L104" s="433"/>
      <c r="M104" s="433"/>
      <c r="N104" s="433"/>
      <c r="O104" s="433"/>
      <c r="P104" s="433"/>
      <c r="Q104" s="433"/>
      <c r="R104" s="433"/>
      <c r="S104" s="433"/>
      <c r="T104" s="433"/>
      <c r="U104" s="433"/>
      <c r="V104" s="433"/>
      <c r="W104" s="433"/>
      <c r="X104" s="433"/>
      <c r="Y104" s="433"/>
      <c r="Z104" s="433"/>
      <c r="AA104" s="433"/>
      <c r="AB104" s="433"/>
    </row>
  </sheetData>
  <sheetProtection/>
  <protectedRanges>
    <protectedRange sqref="P70 P73:Z78" name="Depreciation Inputs"/>
    <protectedRange sqref="Q8:Q10 Q13:Q15 Q57:Q58 Q62 Q65 Q67 Q47 Q38:Q41 Q24:Q25 Q19:Q21 Q33:Q34 Q27:Q30 Q36 Q43:Q45 Q50:Q53" name="Column Q Inputs"/>
    <protectedRange sqref="G5 G51:G55 G46:G47 G58 G62 G64 G73 G8:G11 G14:G15 G30:G36 G38:G42 G18:G23 G77 G75" name="Column G Inputs"/>
    <protectedRange sqref="G76" name="Column G Inputs_2"/>
    <protectedRange sqref="G74" name="Column G Inputs_3"/>
    <protectedRange sqref="P71" name="Depreciation Inputs_2"/>
  </protectedRanges>
  <mergeCells count="10">
    <mergeCell ref="R76:T76"/>
    <mergeCell ref="R77:T77"/>
    <mergeCell ref="R78:T78"/>
    <mergeCell ref="R79:T79"/>
    <mergeCell ref="O4:P4"/>
    <mergeCell ref="C2:T2"/>
    <mergeCell ref="R75:T75"/>
    <mergeCell ref="R72:T72"/>
    <mergeCell ref="R73:T73"/>
    <mergeCell ref="R74:T74"/>
  </mergeCells>
  <conditionalFormatting sqref="C18">
    <cfRule type="expression" priority="572" dxfId="42">
      <formula>$G$18&lt;&gt;""</formula>
    </cfRule>
  </conditionalFormatting>
  <conditionalFormatting sqref="C31">
    <cfRule type="expression" priority="566" dxfId="42">
      <formula>$G$31&gt;=0</formula>
    </cfRule>
  </conditionalFormatting>
  <conditionalFormatting sqref="C19">
    <cfRule type="expression" priority="393" dxfId="42">
      <formula>AND($G$18="Simple",$G$19&gt;0)</formula>
    </cfRule>
    <cfRule type="expression" priority="563" dxfId="9">
      <formula>AND($G$18="Simple",$G$19&lt;=0)</formula>
    </cfRule>
  </conditionalFormatting>
  <conditionalFormatting sqref="C20">
    <cfRule type="expression" priority="392" dxfId="42">
      <formula>AND($G$18="Intermediate",$G$20&gt;0)</formula>
    </cfRule>
    <cfRule type="expression" priority="562" dxfId="9">
      <formula>AND($G$18="Intermediate",$G$20&lt;=0)</formula>
    </cfRule>
  </conditionalFormatting>
  <conditionalFormatting sqref="C74">
    <cfRule type="expression" priority="146" dxfId="10">
      <formula>$G$73="No"</formula>
    </cfRule>
    <cfRule type="expression" priority="147" dxfId="9">
      <formula>$D$74=1</formula>
    </cfRule>
  </conditionalFormatting>
  <conditionalFormatting sqref="C62">
    <cfRule type="expression" priority="384" dxfId="9">
      <formula>$D$62=1</formula>
    </cfRule>
  </conditionalFormatting>
  <conditionalFormatting sqref="L29 G25:H25 K25">
    <cfRule type="expression" priority="726" dxfId="21">
      <formula>$G$18="Complex"</formula>
    </cfRule>
  </conditionalFormatting>
  <conditionalFormatting sqref="C51">
    <cfRule type="expression" priority="386" dxfId="9">
      <formula>$D$51=1</formula>
    </cfRule>
  </conditionalFormatting>
  <conditionalFormatting sqref="M10">
    <cfRule type="expression" priority="409" dxfId="42">
      <formula>$Q$10&lt;&gt;""</formula>
    </cfRule>
  </conditionalFormatting>
  <conditionalFormatting sqref="M9">
    <cfRule type="expression" priority="408" dxfId="42">
      <formula>$Q$9&lt;&gt;""</formula>
    </cfRule>
  </conditionalFormatting>
  <conditionalFormatting sqref="E36:G43">
    <cfRule type="expression" priority="404" dxfId="139">
      <formula>$G$30="Simple"</formula>
    </cfRule>
  </conditionalFormatting>
  <conditionalFormatting sqref="C25">
    <cfRule type="expression" priority="390" dxfId="42">
      <formula>AND($G$18="Complex",$G$25&gt;0)</formula>
    </cfRule>
    <cfRule type="expression" priority="391" dxfId="9">
      <formula>$G$18="Complex"</formula>
    </cfRule>
  </conditionalFormatting>
  <conditionalFormatting sqref="C33">
    <cfRule type="expression" priority="389" dxfId="42">
      <formula>$G$33&gt;0</formula>
    </cfRule>
  </conditionalFormatting>
  <conditionalFormatting sqref="C34">
    <cfRule type="expression" priority="388" dxfId="42">
      <formula>AND($G$34&gt;0,$G$34&lt;=$G$15)</formula>
    </cfRule>
  </conditionalFormatting>
  <conditionalFormatting sqref="C35">
    <cfRule type="expression" priority="387" dxfId="42">
      <formula>$G$35&gt;0</formula>
    </cfRule>
  </conditionalFormatting>
  <conditionalFormatting sqref="G57">
    <cfRule type="expression" priority="371" dxfId="140">
      <formula>$G$57="Fail"</formula>
    </cfRule>
  </conditionalFormatting>
  <conditionalFormatting sqref="O58:Q58 S58">
    <cfRule type="expression" priority="366" dxfId="139">
      <formula>$Q$57="Salvage"</formula>
    </cfRule>
  </conditionalFormatting>
  <conditionalFormatting sqref="E46:G48">
    <cfRule type="expression" priority="344" dxfId="139">
      <formula>$G$18="Simple"</formula>
    </cfRule>
  </conditionalFormatting>
  <conditionalFormatting sqref="G60">
    <cfRule type="expression" priority="312" dxfId="140">
      <formula>$G$60="Fail"</formula>
    </cfRule>
  </conditionalFormatting>
  <conditionalFormatting sqref="G19">
    <cfRule type="expression" priority="276" dxfId="141">
      <formula>$G$18="Simple"</formula>
    </cfRule>
  </conditionalFormatting>
  <conditionalFormatting sqref="G24 E20:F24">
    <cfRule type="expression" priority="275" dxfId="142">
      <formula>$G$18="Intermediate"</formula>
    </cfRule>
  </conditionalFormatting>
  <conditionalFormatting sqref="G20:G23">
    <cfRule type="expression" priority="264" dxfId="141">
      <formula>$G$18="Intermediate"</formula>
    </cfRule>
  </conditionalFormatting>
  <conditionalFormatting sqref="E52:G60 I52:I60">
    <cfRule type="expression" priority="258" dxfId="139">
      <formula>$G$51=0</formula>
    </cfRule>
  </conditionalFormatting>
  <conditionalFormatting sqref="O14:P14">
    <cfRule type="expression" priority="251" dxfId="142">
      <formula>$T$14=1</formula>
    </cfRule>
  </conditionalFormatting>
  <conditionalFormatting sqref="O15:P15">
    <cfRule type="expression" priority="250" dxfId="142">
      <formula>$T$15=1</formula>
    </cfRule>
  </conditionalFormatting>
  <conditionalFormatting sqref="O16">
    <cfRule type="expression" priority="249" dxfId="143">
      <formula>$T$16=1</formula>
    </cfRule>
  </conditionalFormatting>
  <conditionalFormatting sqref="Q14">
    <cfRule type="expression" priority="246" dxfId="141">
      <formula>$T$14=1</formula>
    </cfRule>
  </conditionalFormatting>
  <conditionalFormatting sqref="Q15">
    <cfRule type="expression" priority="245" dxfId="141">
      <formula>$T$15=1</formula>
    </cfRule>
  </conditionalFormatting>
  <conditionalFormatting sqref="P16:Q16">
    <cfRule type="expression" priority="244" dxfId="10">
      <formula>$T$16=1</formula>
    </cfRule>
  </conditionalFormatting>
  <conditionalFormatting sqref="O13:P13">
    <cfRule type="expression" priority="242" dxfId="142">
      <formula>$T$13=1</formula>
    </cfRule>
  </conditionalFormatting>
  <conditionalFormatting sqref="Q13">
    <cfRule type="expression" priority="241" dxfId="144">
      <formula>$T$13=1</formula>
    </cfRule>
  </conditionalFormatting>
  <conditionalFormatting sqref="O23:Q23 S23 O20:Q21 S20:S21">
    <cfRule type="expression" priority="229" dxfId="139">
      <formula>$R$19=1</formula>
    </cfRule>
  </conditionalFormatting>
  <conditionalFormatting sqref="S38:S39 S43:S44 S41 O38:Q39 O43:Q44 O41:Q41">
    <cfRule type="expression" priority="225" dxfId="139">
      <formula>$R$38=1</formula>
    </cfRule>
  </conditionalFormatting>
  <conditionalFormatting sqref="I19">
    <cfRule type="expression" priority="217" dxfId="145">
      <formula>$G$18="Simple"</formula>
    </cfRule>
  </conditionalFormatting>
  <conditionalFormatting sqref="I25">
    <cfRule type="expression" priority="216" dxfId="145">
      <formula>$G$18="Complex"</formula>
    </cfRule>
  </conditionalFormatting>
  <conditionalFormatting sqref="I20:I24">
    <cfRule type="expression" priority="215" dxfId="145">
      <formula>$G$18="Intermediate"</formula>
    </cfRule>
  </conditionalFormatting>
  <conditionalFormatting sqref="I36:I43">
    <cfRule type="expression" priority="214" dxfId="145">
      <formula>$G$30="Intermediate"</formula>
    </cfRule>
  </conditionalFormatting>
  <conditionalFormatting sqref="E19:F19">
    <cfRule type="expression" priority="208" dxfId="142">
      <formula>$G$18="Simple"</formula>
    </cfRule>
  </conditionalFormatting>
  <conditionalFormatting sqref="F25">
    <cfRule type="expression" priority="205" dxfId="142">
      <formula>$G$18="Complex"</formula>
    </cfRule>
  </conditionalFormatting>
  <conditionalFormatting sqref="E25">
    <cfRule type="expression" priority="204" dxfId="143">
      <formula>$G$18="Complex"</formula>
    </cfRule>
  </conditionalFormatting>
  <conditionalFormatting sqref="O40:Q40 S40">
    <cfRule type="expression" priority="2106" dxfId="139">
      <formula>$T$41=1</formula>
    </cfRule>
  </conditionalFormatting>
  <conditionalFormatting sqref="S13">
    <cfRule type="expression" priority="193" dxfId="145">
      <formula>$T$13=1</formula>
    </cfRule>
  </conditionalFormatting>
  <conditionalFormatting sqref="S14">
    <cfRule type="expression" priority="192" dxfId="145">
      <formula>$T$14=1</formula>
    </cfRule>
  </conditionalFormatting>
  <conditionalFormatting sqref="S15">
    <cfRule type="expression" priority="191" dxfId="145">
      <formula>$T$15=1</formula>
    </cfRule>
  </conditionalFormatting>
  <conditionalFormatting sqref="S16">
    <cfRule type="expression" priority="190" dxfId="145">
      <formula>$T$16=1</formula>
    </cfRule>
  </conditionalFormatting>
  <conditionalFormatting sqref="C57">
    <cfRule type="expression" priority="189" dxfId="9">
      <formula>$G$57="Fail"</formula>
    </cfRule>
  </conditionalFormatting>
  <conditionalFormatting sqref="C60">
    <cfRule type="expression" priority="188" dxfId="9">
      <formula>$G$60="Fail"</formula>
    </cfRule>
  </conditionalFormatting>
  <conditionalFormatting sqref="E63:G63">
    <cfRule type="expression" priority="187" dxfId="139">
      <formula>$G$51=0%</formula>
    </cfRule>
  </conditionalFormatting>
  <conditionalFormatting sqref="C12">
    <cfRule type="expression" priority="183" dxfId="9">
      <formula>$D$12=1</formula>
    </cfRule>
  </conditionalFormatting>
  <conditionalFormatting sqref="C14">
    <cfRule type="expression" priority="182" dxfId="9">
      <formula>$D$14=1</formula>
    </cfRule>
  </conditionalFormatting>
  <conditionalFormatting sqref="M8">
    <cfRule type="expression" priority="181" dxfId="9">
      <formula>$N$8=1</formula>
    </cfRule>
  </conditionalFormatting>
  <conditionalFormatting sqref="C30">
    <cfRule type="expression" priority="172" dxfId="42">
      <formula>$G$30&lt;&gt;""</formula>
    </cfRule>
  </conditionalFormatting>
  <conditionalFormatting sqref="C46">
    <cfRule type="expression" priority="153" dxfId="10">
      <formula>$G$18="Simple"</formula>
    </cfRule>
    <cfRule type="expression" priority="171" dxfId="9">
      <formula>$G$46&lt;=0</formula>
    </cfRule>
  </conditionalFormatting>
  <conditionalFormatting sqref="C47">
    <cfRule type="expression" priority="152" dxfId="10">
      <formula>$G$18="Simple"</formula>
    </cfRule>
    <cfRule type="expression" priority="168" dxfId="42">
      <formula>AND($G$18="Intermediate",$G$47&gt;=0)</formula>
    </cfRule>
  </conditionalFormatting>
  <conditionalFormatting sqref="C52">
    <cfRule type="expression" priority="151" dxfId="10">
      <formula>$G$51=0</formula>
    </cfRule>
    <cfRule type="expression" priority="167" dxfId="9">
      <formula>$D$52=1</formula>
    </cfRule>
  </conditionalFormatting>
  <conditionalFormatting sqref="C53">
    <cfRule type="expression" priority="164" dxfId="9">
      <formula>$D$53=1</formula>
    </cfRule>
  </conditionalFormatting>
  <conditionalFormatting sqref="C55">
    <cfRule type="expression" priority="163" dxfId="9">
      <formula>$G$55&lt;1</formula>
    </cfRule>
  </conditionalFormatting>
  <conditionalFormatting sqref="C58">
    <cfRule type="expression" priority="162" dxfId="9">
      <formula>$G$58&lt;1</formula>
    </cfRule>
  </conditionalFormatting>
  <conditionalFormatting sqref="C54">
    <cfRule type="expression" priority="161" dxfId="9">
      <formula>$D$54=1</formula>
    </cfRule>
  </conditionalFormatting>
  <conditionalFormatting sqref="C57:C58 C60 C52:C55">
    <cfRule type="expression" priority="150" dxfId="10">
      <formula>$G$51=0</formula>
    </cfRule>
  </conditionalFormatting>
  <conditionalFormatting sqref="C64">
    <cfRule type="expression" priority="149" dxfId="9">
      <formula>$G$64&lt;0</formula>
    </cfRule>
  </conditionalFormatting>
  <conditionalFormatting sqref="C73">
    <cfRule type="expression" priority="148" dxfId="9">
      <formula>$G$73=""</formula>
    </cfRule>
  </conditionalFormatting>
  <conditionalFormatting sqref="C76">
    <cfRule type="expression" priority="139" dxfId="10">
      <formula>$G$73="No"</formula>
    </cfRule>
    <cfRule type="expression" priority="140" dxfId="9">
      <formula>$D$76=1</formula>
    </cfRule>
  </conditionalFormatting>
  <conditionalFormatting sqref="C75">
    <cfRule type="expression" priority="138" dxfId="9">
      <formula>$G$75=""</formula>
    </cfRule>
  </conditionalFormatting>
  <conditionalFormatting sqref="C77">
    <cfRule type="expression" priority="137" dxfId="9">
      <formula>$G$77=""</formula>
    </cfRule>
  </conditionalFormatting>
  <conditionalFormatting sqref="M13">
    <cfRule type="expression" priority="135" dxfId="9">
      <formula>$Q$13=""</formula>
    </cfRule>
  </conditionalFormatting>
  <conditionalFormatting sqref="M14">
    <cfRule type="expression" priority="134" dxfId="9">
      <formula>$N$14=1</formula>
    </cfRule>
  </conditionalFormatting>
  <conditionalFormatting sqref="M15">
    <cfRule type="expression" priority="133" dxfId="9">
      <formula>$N$15=1</formula>
    </cfRule>
  </conditionalFormatting>
  <conditionalFormatting sqref="M19">
    <cfRule type="expression" priority="132" dxfId="9">
      <formula>$Q$19=""</formula>
    </cfRule>
  </conditionalFormatting>
  <conditionalFormatting sqref="M20">
    <cfRule type="expression" priority="131" dxfId="9">
      <formula>$Q$20=""</formula>
    </cfRule>
  </conditionalFormatting>
  <conditionalFormatting sqref="M24">
    <cfRule type="expression" priority="130" dxfId="9">
      <formula>$Q$24=""</formula>
    </cfRule>
  </conditionalFormatting>
  <conditionalFormatting sqref="M21 M52 M57 M50 M47 M30 M33:M34 M38">
    <cfRule type="expression" priority="129" dxfId="9">
      <formula>$N21=1</formula>
    </cfRule>
  </conditionalFormatting>
  <conditionalFormatting sqref="M25">
    <cfRule type="expression" priority="121" dxfId="9">
      <formula>$Q$25&lt;0</formula>
    </cfRule>
  </conditionalFormatting>
  <conditionalFormatting sqref="M27">
    <cfRule type="expression" priority="120" dxfId="9">
      <formula>$N$27=1</formula>
    </cfRule>
  </conditionalFormatting>
  <conditionalFormatting sqref="M28">
    <cfRule type="expression" priority="119" dxfId="9">
      <formula>$Q$28=""</formula>
    </cfRule>
  </conditionalFormatting>
  <conditionalFormatting sqref="M62 M65 M45 M29">
    <cfRule type="expression" priority="117" dxfId="9">
      <formula>$Q29&lt;0</formula>
    </cfRule>
  </conditionalFormatting>
  <conditionalFormatting sqref="M36">
    <cfRule type="expression" priority="113" dxfId="9">
      <formula>$N$36=1</formula>
    </cfRule>
  </conditionalFormatting>
  <conditionalFormatting sqref="M41">
    <cfRule type="expression" priority="112" dxfId="9">
      <formula>$Q$41&lt;0</formula>
    </cfRule>
  </conditionalFormatting>
  <conditionalFormatting sqref="M43">
    <cfRule type="expression" priority="111" dxfId="9">
      <formula>$N$43=1</formula>
    </cfRule>
  </conditionalFormatting>
  <conditionalFormatting sqref="M44">
    <cfRule type="expression" priority="110" dxfId="9">
      <formula>$Q$44=""</formula>
    </cfRule>
  </conditionalFormatting>
  <conditionalFormatting sqref="M51 M53">
    <cfRule type="expression" priority="106" dxfId="42">
      <formula>$Q51&gt;0</formula>
    </cfRule>
  </conditionalFormatting>
  <conditionalFormatting sqref="M58">
    <cfRule type="expression" priority="94" dxfId="10">
      <formula>$Q$57="Salvage"</formula>
    </cfRule>
    <cfRule type="expression" priority="104" dxfId="9">
      <formula>$Q$58&lt;0</formula>
    </cfRule>
  </conditionalFormatting>
  <conditionalFormatting sqref="M67">
    <cfRule type="expression" priority="101" dxfId="9">
      <formula>$Q$67&lt;0</formula>
    </cfRule>
  </conditionalFormatting>
  <conditionalFormatting sqref="M27:M28 M24:M25">
    <cfRule type="expression" priority="98" dxfId="10">
      <formula>$Q$19="Cost-Based"</formula>
    </cfRule>
  </conditionalFormatting>
  <conditionalFormatting sqref="M73">
    <cfRule type="expression" priority="90" dxfId="9">
      <formula>$N$73=2</formula>
    </cfRule>
    <cfRule type="expression" priority="91" dxfId="42">
      <formula>$N$73=1</formula>
    </cfRule>
  </conditionalFormatting>
  <conditionalFormatting sqref="M74:M78">
    <cfRule type="expression" priority="86" dxfId="9">
      <formula>$N74=2</formula>
    </cfRule>
    <cfRule type="expression" priority="87" dxfId="42">
      <formula>$N74=1</formula>
    </cfRule>
  </conditionalFormatting>
  <conditionalFormatting sqref="AB73:AB79 O73:R78 U73:Z78">
    <cfRule type="expression" priority="85" dxfId="139">
      <formula>$L73=0</formula>
    </cfRule>
  </conditionalFormatting>
  <conditionalFormatting sqref="O79:R79 U79:Z79">
    <cfRule type="expression" priority="80" dxfId="139">
      <formula>$L$79=0</formula>
    </cfRule>
  </conditionalFormatting>
  <conditionalFormatting sqref="C5">
    <cfRule type="expression" priority="79" dxfId="9">
      <formula>$G$5=""</formula>
    </cfRule>
  </conditionalFormatting>
  <conditionalFormatting sqref="C21:C23">
    <cfRule type="expression" priority="78" dxfId="9">
      <formula>$G21&lt;0</formula>
    </cfRule>
  </conditionalFormatting>
  <conditionalFormatting sqref="C36 C38:C42">
    <cfRule type="expression" priority="75" dxfId="10">
      <formula>$G$30="Simple"</formula>
    </cfRule>
  </conditionalFormatting>
  <conditionalFormatting sqref="C36 C38:C39 C41:C42">
    <cfRule type="expression" priority="72" dxfId="9">
      <formula>$G36&lt;0</formula>
    </cfRule>
    <cfRule type="expression" priority="73" dxfId="9">
      <formula>$G36&lt;0</formula>
    </cfRule>
  </conditionalFormatting>
  <conditionalFormatting sqref="C40">
    <cfRule type="expression" priority="61" dxfId="9">
      <formula>$G$40=""</formula>
    </cfRule>
  </conditionalFormatting>
  <conditionalFormatting sqref="C32">
    <cfRule type="expression" priority="60" dxfId="9">
      <formula>$G$32&lt;0</formula>
    </cfRule>
  </conditionalFormatting>
  <conditionalFormatting sqref="C15">
    <cfRule type="expression" priority="59" dxfId="9">
      <formula>$D$15=1</formula>
    </cfRule>
  </conditionalFormatting>
  <conditionalFormatting sqref="E75:G75 I74:I79 E77:G79 E76:F76 E74:F74">
    <cfRule type="expression" priority="2364" dxfId="139">
      <formula>$G$73="No"</formula>
    </cfRule>
  </conditionalFormatting>
  <conditionalFormatting sqref="I57 I60">
    <cfRule type="expression" priority="47" dxfId="28">
      <formula>$G57="Fail"</formula>
    </cfRule>
  </conditionalFormatting>
  <conditionalFormatting sqref="E57">
    <cfRule type="expression" priority="42" dxfId="28">
      <formula>$G$57="Fail"</formula>
    </cfRule>
  </conditionalFormatting>
  <conditionalFormatting sqref="E60">
    <cfRule type="expression" priority="41" dxfId="28">
      <formula>$G$60="Fail"</formula>
    </cfRule>
  </conditionalFormatting>
  <conditionalFormatting sqref="M71">
    <cfRule type="expression" priority="26" dxfId="10">
      <formula>$P$70="No"</formula>
    </cfRule>
    <cfRule type="expression" priority="27" dxfId="9">
      <formula>$P$71&lt;0</formula>
    </cfRule>
  </conditionalFormatting>
  <conditionalFormatting sqref="O71 S71">
    <cfRule type="expression" priority="25" dxfId="139">
      <formula>$P$70="No"</formula>
    </cfRule>
  </conditionalFormatting>
  <conditionalFormatting sqref="M70">
    <cfRule type="expression" priority="23" dxfId="9">
      <formula>$P$70=""</formula>
    </cfRule>
  </conditionalFormatting>
  <conditionalFormatting sqref="M13:M15">
    <cfRule type="expression" priority="3193" dxfId="10">
      <formula>$G$15=$Q$8</formula>
    </cfRule>
  </conditionalFormatting>
  <conditionalFormatting sqref="L24 K19">
    <cfRule type="expression" priority="3194" dxfId="146">
      <formula>$G$18="Simple"</formula>
    </cfRule>
  </conditionalFormatting>
  <conditionalFormatting sqref="L27:L28 L25 K20:K24">
    <cfRule type="expression" priority="3196" dxfId="146">
      <formula>$G$18="Intermediate"</formula>
    </cfRule>
  </conditionalFormatting>
  <conditionalFormatting sqref="C9">
    <cfRule type="expression" priority="20" dxfId="9">
      <formula>$G$9=""</formula>
    </cfRule>
  </conditionalFormatting>
  <conditionalFormatting sqref="I10 E10:G10">
    <cfRule type="expression" priority="19" dxfId="139">
      <formula>$G$9="Custom"</formula>
    </cfRule>
  </conditionalFormatting>
  <conditionalFormatting sqref="C10">
    <cfRule type="expression" priority="18" dxfId="9">
      <formula>$G$10=""</formula>
    </cfRule>
  </conditionalFormatting>
  <conditionalFormatting sqref="C11">
    <cfRule type="expression" priority="17" dxfId="9">
      <formula>$G$11=""</formula>
    </cfRule>
  </conditionalFormatting>
  <conditionalFormatting sqref="E11:G11 I11">
    <cfRule type="expression" priority="16" dxfId="139">
      <formula>$G$9="State Average"</formula>
    </cfRule>
  </conditionalFormatting>
  <conditionalFormatting sqref="O39:Q39 O43:Q44 O41:Q41">
    <cfRule type="expression" priority="3221" dxfId="139">
      <formula>$Q$38="No"</formula>
    </cfRule>
  </conditionalFormatting>
  <conditionalFormatting sqref="E12:F12 I12">
    <cfRule type="expression" priority="12" dxfId="139">
      <formula>$G$9="custom"</formula>
    </cfRule>
  </conditionalFormatting>
  <conditionalFormatting sqref="S36:S37 O36:Q37 S34 O34:Q34">
    <cfRule type="expression" priority="4702" dxfId="139">
      <formula>$R$34=1</formula>
    </cfRule>
  </conditionalFormatting>
  <conditionalFormatting sqref="M36 M34">
    <cfRule type="expression" priority="4767" dxfId="10">
      <formula>$Q$33="Performance-Based"</formula>
    </cfRule>
  </conditionalFormatting>
  <conditionalFormatting sqref="M38 M43:M44 M41">
    <cfRule type="expression" priority="4805" dxfId="10">
      <formula>$Q$33="Cost-Based"</formula>
    </cfRule>
  </conditionalFormatting>
  <conditionalFormatting sqref="M40">
    <cfRule type="expression" priority="4949" dxfId="10">
      <formula>$Q$38="Tax Credit"</formula>
    </cfRule>
    <cfRule type="expression" priority="4950" dxfId="9">
      <formula>$Q40=""</formula>
    </cfRule>
  </conditionalFormatting>
  <conditionalFormatting sqref="O42:Q42">
    <cfRule type="expression" priority="11" dxfId="139">
      <formula>$R$38=1</formula>
    </cfRule>
  </conditionalFormatting>
  <conditionalFormatting sqref="O42:Q42">
    <cfRule type="expression" priority="10" dxfId="139">
      <formula>$Q$38="No"</formula>
    </cfRule>
  </conditionalFormatting>
  <conditionalFormatting sqref="O35:Q35">
    <cfRule type="expression" priority="9" dxfId="139">
      <formula>$R$34=1</formula>
    </cfRule>
  </conditionalFormatting>
  <conditionalFormatting sqref="O22:Q22">
    <cfRule type="expression" priority="8" dxfId="139">
      <formula>$R$19=1</formula>
    </cfRule>
  </conditionalFormatting>
  <conditionalFormatting sqref="O24:Q28 S24:S25 S27:S28">
    <cfRule type="expression" priority="6" dxfId="139">
      <formula>OR($R$19=2,$Q$19="Neither")</formula>
    </cfRule>
  </conditionalFormatting>
  <conditionalFormatting sqref="G62">
    <cfRule type="expression" priority="4" dxfId="139">
      <formula>$G$30="Simple"</formula>
    </cfRule>
  </conditionalFormatting>
  <conditionalFormatting sqref="G76">
    <cfRule type="expression" priority="3" dxfId="139">
      <formula>$G$73="No"</formula>
    </cfRule>
  </conditionalFormatting>
  <conditionalFormatting sqref="G74">
    <cfRule type="expression" priority="2" dxfId="139">
      <formula>$G$73="No"</formula>
    </cfRule>
  </conditionalFormatting>
  <conditionalFormatting sqref="P71">
    <cfRule type="expression" priority="1" dxfId="139">
      <formula>$P$70="No"</formula>
    </cfRule>
  </conditionalFormatting>
  <dataValidations count="16">
    <dataValidation errorStyle="warning" type="decimal" operator="greaterThan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 sqref="G59">
      <formula1>G58</formula1>
    </dataValidation>
    <dataValidation type="list" allowBlank="1" showInputMessage="1" showErrorMessage="1" sqref="Q40 Q30 Q47 G73 P70">
      <formula1>"Yes, No"</formula1>
    </dataValidation>
    <dataValidation type="list" allowBlank="1" showInputMessage="1" showErrorMessage="1" sqref="Q38 Q24">
      <formula1>"Cash, Tax Credit"</formula1>
    </dataValidation>
    <dataValidation type="list" allowBlank="1" showInputMessage="1" showErrorMessage="1" sqref="Q33 Q19">
      <formula1>"Cost-Based, Performance-Based, Neither"</formula1>
    </dataValidation>
    <dataValidation type="list" allowBlank="1" showInputMessage="1" showErrorMessage="1" sqref="Q57">
      <formula1>"Operations, Salvage"</formula1>
    </dataValidation>
    <dataValidation type="list" allowBlank="1" showInputMessage="1" showErrorMessage="1" sqref="Q20">
      <formula1>"ITC, Cash Grant"</formula1>
    </dataValidation>
    <dataValidation type="list" allowBlank="1" showInputMessage="1" showErrorMessage="1" sqref="G75 G77">
      <formula1>"As Generated, Carried Forward"</formula1>
    </dataValidation>
    <dataValidation errorStyle="warning" allowBlank="1" showInputMessage="1" showErrorMessage="1" sqref="G57"/>
    <dataValidation errorStyle="warning" operator="equal" allowBlank="1" showInputMessage="1" showErrorMessage="1" errorTitle="Project Fails to Meet DSCR" error="This project's cash flow is insufficient to support the amount of user-defined debt, and fails to meet the lender's requirements.    &#10;Please read the note field(s) highlighted in yellow for options to cure this deficiency.&#10;&#10;" sqref="H57 H60"/>
    <dataValidation errorStyle="warning" operator="greaterThanOrEqual" allowBlank="1" showInputMessage="1" showErrorMessage="1" errorTitle="test" error="test" sqref="G55"/>
    <dataValidation type="list" allowBlank="1" showInputMessage="1" showErrorMessage="1" sqref="G30">
      <formula1>"Simple, Intermediate"</formula1>
    </dataValidation>
    <dataValidation type="list" allowBlank="1" showInputMessage="1" showErrorMessage="1" sqref="G18">
      <formula1>"Simple, Intermediate, Complex"</formula1>
    </dataValidation>
    <dataValidation type="list" allowBlank="1" showInputMessage="1" showErrorMessage="1" sqref="Q13">
      <formula1>"Year One, Year-by-Year"</formula1>
    </dataValidation>
    <dataValidation type="list" allowBlank="1" showInputMessage="1" showErrorMessage="1" sqref="J5 G5">
      <formula1>$O$5:$P$5</formula1>
    </dataValidation>
    <dataValidation type="list" allowBlank="1" showInputMessage="1" showErrorMessage="1" sqref="G9">
      <formula1>"State Average, Custom"</formula1>
    </dataValidation>
    <dataValidation type="list" allowBlank="1" showInputMessage="1" showErrorMessage="1" sqref="G10">
      <formula1>'CREST Inputs'!#REF!</formula1>
    </dataValidation>
  </dataValidations>
  <hyperlinks>
    <hyperlink ref="E25" location="'Complex Inputs'!A1" display="'Complex Inputs'!A1"/>
    <hyperlink ref="O16" location="'Complex Inputs'!A126" display="'Complex Inputs'!A126"/>
    <hyperlink ref="O79" location="'Complex Inputs'!A114" display="'Complex Inputs'!A114"/>
  </hyperlinks>
  <printOptions/>
  <pageMargins left="0.7" right="0.7" top="0.75" bottom="0.75" header="0.3" footer="0.3"/>
  <pageSetup fitToHeight="1" fitToWidth="1" horizontalDpi="600" verticalDpi="600" orientation="landscape" scale="31" r:id="rId3"/>
  <headerFooter>
    <oddHeader>&amp;L&amp;F
Worksheet: &amp;A
&amp;D</oddHeader>
    <oddFooter>&amp;C&amp;P of &amp;N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Z50"/>
  <sheetViews>
    <sheetView showGridLines="0" zoomScale="80" zoomScaleNormal="80" zoomScalePageLayoutView="0" workbookViewId="0" topLeftCell="A1">
      <selection activeCell="L10" sqref="L10"/>
    </sheetView>
  </sheetViews>
  <sheetFormatPr defaultColWidth="9.140625" defaultRowHeight="15"/>
  <cols>
    <col min="2" max="2" width="37.00390625" style="0" bestFit="1" customWidth="1"/>
    <col min="3" max="3" width="18.28125" style="478" customWidth="1"/>
    <col min="4" max="4" width="11.140625" style="478" customWidth="1"/>
    <col min="5" max="5" width="11.140625" style="522" customWidth="1"/>
    <col min="6" max="6" width="11.140625" style="478" customWidth="1"/>
    <col min="7" max="7" width="36.57421875" style="0" bestFit="1" customWidth="1"/>
    <col min="8" max="8" width="10.8515625" style="0" bestFit="1" customWidth="1"/>
    <col min="9" max="9" width="11.28125" style="0" customWidth="1"/>
    <col min="10" max="11" width="2.140625" style="0" customWidth="1"/>
    <col min="12" max="12" width="41.8515625" style="0" bestFit="1" customWidth="1"/>
    <col min="13" max="13" width="12.140625" style="0" customWidth="1"/>
    <col min="14" max="14" width="10.8515625" style="0" customWidth="1"/>
    <col min="15" max="15" width="10.00390625" style="0" customWidth="1"/>
    <col min="16" max="16" width="14.7109375" style="0" customWidth="1"/>
    <col min="17" max="17" width="13.140625" style="0" customWidth="1"/>
    <col min="18" max="18" width="14.28125" style="0" customWidth="1"/>
    <col min="20" max="26" width="9.140625" style="14" customWidth="1"/>
  </cols>
  <sheetData>
    <row r="1" spans="3:6" ht="15">
      <c r="C1" s="568"/>
      <c r="D1" s="568"/>
      <c r="E1" s="568"/>
      <c r="F1" s="568"/>
    </row>
    <row r="2" spans="2:26" ht="15">
      <c r="B2" s="479" t="s">
        <v>317</v>
      </c>
      <c r="C2" s="480" t="s">
        <v>316</v>
      </c>
      <c r="D2" s="493"/>
      <c r="E2"/>
      <c r="F2"/>
      <c r="G2" s="581" t="s">
        <v>331</v>
      </c>
      <c r="H2" s="604"/>
      <c r="I2" s="582"/>
      <c r="J2" s="14"/>
      <c r="K2" s="644"/>
      <c r="L2" s="644"/>
      <c r="M2" s="14"/>
      <c r="N2" s="14"/>
      <c r="O2" s="14"/>
      <c r="P2" s="14"/>
      <c r="T2"/>
      <c r="U2"/>
      <c r="V2"/>
      <c r="W2"/>
      <c r="X2"/>
      <c r="Y2"/>
      <c r="Z2"/>
    </row>
    <row r="3" spans="2:26" ht="15">
      <c r="B3" s="569" t="s">
        <v>29</v>
      </c>
      <c r="C3" s="567" t="s">
        <v>328</v>
      </c>
      <c r="D3" s="570">
        <v>2000</v>
      </c>
      <c r="E3"/>
      <c r="F3"/>
      <c r="G3" s="591" t="s">
        <v>374</v>
      </c>
      <c r="H3" s="605">
        <v>2000</v>
      </c>
      <c r="I3" s="606">
        <v>4000</v>
      </c>
      <c r="K3" s="14"/>
      <c r="L3" s="14"/>
      <c r="M3" s="14"/>
      <c r="N3" s="14"/>
      <c r="O3" s="14"/>
      <c r="P3" s="14"/>
      <c r="Q3" s="14"/>
      <c r="T3"/>
      <c r="U3"/>
      <c r="V3"/>
      <c r="W3"/>
      <c r="X3"/>
      <c r="Y3"/>
      <c r="Z3"/>
    </row>
    <row r="4" spans="2:26" ht="15">
      <c r="B4" s="569" t="s">
        <v>29</v>
      </c>
      <c r="C4" s="567" t="s">
        <v>327</v>
      </c>
      <c r="D4" s="571">
        <f>D3/$D$7</f>
        <v>2666.6666666666665</v>
      </c>
      <c r="E4"/>
      <c r="F4"/>
      <c r="G4" s="569" t="s">
        <v>146</v>
      </c>
      <c r="H4" s="607">
        <v>2422452.334691608</v>
      </c>
      <c r="I4" s="590">
        <v>3998868</v>
      </c>
      <c r="K4" s="14"/>
      <c r="L4" s="14"/>
      <c r="M4" s="14"/>
      <c r="N4" s="14"/>
      <c r="O4" s="14"/>
      <c r="P4" s="14"/>
      <c r="Q4" s="14"/>
      <c r="T4"/>
      <c r="U4"/>
      <c r="V4"/>
      <c r="W4"/>
      <c r="X4"/>
      <c r="Y4"/>
      <c r="Z4"/>
    </row>
    <row r="5" spans="2:26" ht="15">
      <c r="B5" s="572"/>
      <c r="C5" s="14"/>
      <c r="D5" s="570"/>
      <c r="F5"/>
      <c r="G5" s="569" t="s">
        <v>147</v>
      </c>
      <c r="H5" s="607">
        <v>1096642.4819198535</v>
      </c>
      <c r="I5" s="590">
        <v>2496209</v>
      </c>
      <c r="J5" s="14"/>
      <c r="K5" s="14"/>
      <c r="L5" s="14"/>
      <c r="M5" s="14"/>
      <c r="N5" s="14"/>
      <c r="T5"/>
      <c r="U5"/>
      <c r="V5"/>
      <c r="W5"/>
      <c r="X5"/>
      <c r="Y5"/>
      <c r="Z5"/>
    </row>
    <row r="6" spans="2:26" ht="15">
      <c r="B6" s="573" t="s">
        <v>350</v>
      </c>
      <c r="C6" s="567" t="s">
        <v>373</v>
      </c>
      <c r="D6" s="594">
        <v>0.155</v>
      </c>
      <c r="F6"/>
      <c r="G6" s="569" t="s">
        <v>148</v>
      </c>
      <c r="H6" s="607">
        <v>279044.61779311934</v>
      </c>
      <c r="I6" s="590">
        <v>470684</v>
      </c>
      <c r="J6" s="14"/>
      <c r="K6" s="14"/>
      <c r="L6" s="14"/>
      <c r="M6" s="14"/>
      <c r="N6" s="14"/>
      <c r="T6"/>
      <c r="U6"/>
      <c r="V6"/>
      <c r="W6"/>
      <c r="X6"/>
      <c r="Y6"/>
      <c r="Z6"/>
    </row>
    <row r="7" spans="2:26" ht="15">
      <c r="B7" s="569" t="s">
        <v>329</v>
      </c>
      <c r="C7" s="567"/>
      <c r="D7" s="588">
        <v>0.75</v>
      </c>
      <c r="F7"/>
      <c r="G7" s="578" t="s">
        <v>149</v>
      </c>
      <c r="H7" s="608">
        <v>1057961.5447641273</v>
      </c>
      <c r="I7" s="592">
        <v>829031</v>
      </c>
      <c r="J7" s="14"/>
      <c r="K7" s="14"/>
      <c r="L7" s="14"/>
      <c r="M7" s="14"/>
      <c r="N7" s="14"/>
      <c r="T7"/>
      <c r="U7"/>
      <c r="V7"/>
      <c r="W7"/>
      <c r="X7"/>
      <c r="Y7"/>
      <c r="Z7"/>
    </row>
    <row r="8" spans="2:26" ht="15">
      <c r="B8" s="572"/>
      <c r="C8" s="14"/>
      <c r="D8" s="570"/>
      <c r="F8" s="25"/>
      <c r="G8" s="25"/>
      <c r="H8" s="25"/>
      <c r="I8" s="25"/>
      <c r="J8" s="25"/>
      <c r="M8" s="14"/>
      <c r="N8" s="14"/>
      <c r="O8" s="14"/>
      <c r="P8" s="14"/>
      <c r="Q8" s="14"/>
      <c r="R8" s="14"/>
      <c r="S8" s="14"/>
      <c r="T8"/>
      <c r="U8"/>
      <c r="V8"/>
      <c r="W8"/>
      <c r="X8"/>
      <c r="Y8"/>
      <c r="Z8"/>
    </row>
    <row r="9" spans="2:26" ht="15">
      <c r="B9" s="569" t="s">
        <v>323</v>
      </c>
      <c r="C9" s="567" t="s">
        <v>1</v>
      </c>
      <c r="D9" s="589">
        <f>'CREST Inputs'!G63</f>
        <v>0.09363796317716</v>
      </c>
      <c r="F9" s="516"/>
      <c r="G9" s="486"/>
      <c r="H9" s="516"/>
      <c r="I9" s="516"/>
      <c r="J9" s="516"/>
      <c r="M9" s="14"/>
      <c r="N9" s="14"/>
      <c r="O9" s="14"/>
      <c r="P9" s="14"/>
      <c r="Q9" s="14"/>
      <c r="R9" s="14"/>
      <c r="S9" s="14"/>
      <c r="T9"/>
      <c r="U9"/>
      <c r="V9"/>
      <c r="W9"/>
      <c r="X9"/>
      <c r="Y9"/>
      <c r="Z9"/>
    </row>
    <row r="10" spans="2:26" ht="15">
      <c r="B10" s="569" t="s">
        <v>324</v>
      </c>
      <c r="C10" s="567" t="s">
        <v>1</v>
      </c>
      <c r="D10" s="593">
        <v>0.02</v>
      </c>
      <c r="F10" s="516"/>
      <c r="G10" s="583" t="s">
        <v>333</v>
      </c>
      <c r="H10" s="584">
        <v>0.04</v>
      </c>
      <c r="I10" s="516"/>
      <c r="J10" s="516"/>
      <c r="M10" s="14"/>
      <c r="N10" s="14"/>
      <c r="O10" s="14"/>
      <c r="P10" s="14"/>
      <c r="Q10" s="14"/>
      <c r="R10" s="14"/>
      <c r="S10" s="14"/>
      <c r="T10"/>
      <c r="U10"/>
      <c r="V10"/>
      <c r="W10"/>
      <c r="X10"/>
      <c r="Y10"/>
      <c r="Z10"/>
    </row>
    <row r="11" spans="2:26" ht="15">
      <c r="B11" s="572"/>
      <c r="C11" s="14"/>
      <c r="D11" s="575"/>
      <c r="F11" s="516"/>
      <c r="G11" s="569" t="s">
        <v>334</v>
      </c>
      <c r="H11" s="575">
        <v>2017</v>
      </c>
      <c r="I11" s="516"/>
      <c r="J11" s="516"/>
      <c r="M11" s="14"/>
      <c r="N11" s="14"/>
      <c r="O11" s="14"/>
      <c r="P11" s="14"/>
      <c r="Q11" s="14"/>
      <c r="R11" s="14"/>
      <c r="S11" s="14"/>
      <c r="T11"/>
      <c r="U11"/>
      <c r="V11"/>
      <c r="W11"/>
      <c r="X11"/>
      <c r="Y11"/>
      <c r="Z11"/>
    </row>
    <row r="12" spans="2:26" ht="15">
      <c r="B12" s="569" t="s">
        <v>354</v>
      </c>
      <c r="C12" s="567" t="s">
        <v>355</v>
      </c>
      <c r="D12" s="576">
        <v>6000</v>
      </c>
      <c r="F12" s="516"/>
      <c r="G12" s="578" t="s">
        <v>335</v>
      </c>
      <c r="H12" s="585">
        <v>2019</v>
      </c>
      <c r="I12" s="516"/>
      <c r="J12" s="516"/>
      <c r="M12" s="14"/>
      <c r="N12" s="14"/>
      <c r="O12" s="14"/>
      <c r="P12" s="14"/>
      <c r="Q12" s="14"/>
      <c r="R12" s="14"/>
      <c r="S12" s="14"/>
      <c r="T12"/>
      <c r="U12"/>
      <c r="V12"/>
      <c r="W12"/>
      <c r="X12"/>
      <c r="Y12"/>
      <c r="Z12"/>
    </row>
    <row r="13" spans="2:26" ht="15">
      <c r="B13" s="569" t="s">
        <v>354</v>
      </c>
      <c r="C13" s="567" t="s">
        <v>356</v>
      </c>
      <c r="D13" s="577">
        <f>D12/1000</f>
        <v>6</v>
      </c>
      <c r="E13"/>
      <c r="F13"/>
      <c r="M13" s="14"/>
      <c r="N13" s="14"/>
      <c r="O13" s="14"/>
      <c r="P13" s="14"/>
      <c r="Q13" s="14"/>
      <c r="R13" s="14"/>
      <c r="S13" s="14"/>
      <c r="T13"/>
      <c r="U13"/>
      <c r="V13"/>
      <c r="W13"/>
      <c r="X13"/>
      <c r="Y13"/>
      <c r="Z13"/>
    </row>
    <row r="14" spans="2:26" ht="15">
      <c r="B14" s="569"/>
      <c r="C14" s="567"/>
      <c r="D14" s="575"/>
      <c r="E14"/>
      <c r="F14"/>
      <c r="M14" s="14"/>
      <c r="N14" s="14"/>
      <c r="O14" s="14"/>
      <c r="P14" s="14"/>
      <c r="Q14" s="14"/>
      <c r="R14" s="14"/>
      <c r="S14" s="14"/>
      <c r="T14"/>
      <c r="U14"/>
      <c r="V14"/>
      <c r="W14"/>
      <c r="X14"/>
      <c r="Y14"/>
      <c r="Z14"/>
    </row>
    <row r="15" spans="2:26" ht="15">
      <c r="B15" s="569" t="s">
        <v>268</v>
      </c>
      <c r="C15" s="567" t="s">
        <v>351</v>
      </c>
      <c r="D15" s="575">
        <v>1000</v>
      </c>
      <c r="E15"/>
      <c r="F15"/>
      <c r="L15" s="14"/>
      <c r="M15" s="14"/>
      <c r="N15" s="14"/>
      <c r="O15" s="14"/>
      <c r="P15" s="14"/>
      <c r="Q15" s="14"/>
      <c r="R15" s="14"/>
      <c r="T15"/>
      <c r="U15"/>
      <c r="V15"/>
      <c r="W15"/>
      <c r="X15"/>
      <c r="Y15"/>
      <c r="Z15"/>
    </row>
    <row r="16" spans="2:26" ht="15">
      <c r="B16" s="569" t="s">
        <v>268</v>
      </c>
      <c r="C16" s="567" t="s">
        <v>330</v>
      </c>
      <c r="D16" s="575">
        <v>5</v>
      </c>
      <c r="E16"/>
      <c r="F16"/>
      <c r="L16" s="14"/>
      <c r="M16" s="14"/>
      <c r="N16" s="14"/>
      <c r="O16" s="14"/>
      <c r="P16" s="14"/>
      <c r="Q16" s="14"/>
      <c r="R16" s="14"/>
      <c r="T16"/>
      <c r="U16"/>
      <c r="V16"/>
      <c r="W16"/>
      <c r="X16"/>
      <c r="Y16"/>
      <c r="Z16"/>
    </row>
    <row r="17" spans="2:26" ht="15">
      <c r="B17" s="569"/>
      <c r="C17" s="567"/>
      <c r="D17" s="575"/>
      <c r="E17"/>
      <c r="F17"/>
      <c r="L17" s="14"/>
      <c r="M17" s="14"/>
      <c r="N17" s="14"/>
      <c r="O17" s="14"/>
      <c r="P17" s="14"/>
      <c r="Q17" s="14"/>
      <c r="R17" s="14"/>
      <c r="T17"/>
      <c r="U17"/>
      <c r="V17"/>
      <c r="W17"/>
      <c r="X17"/>
      <c r="Y17"/>
      <c r="Z17"/>
    </row>
    <row r="18" spans="2:26" ht="15">
      <c r="B18" s="569" t="s">
        <v>352</v>
      </c>
      <c r="C18" s="567" t="s">
        <v>1</v>
      </c>
      <c r="D18" s="574">
        <v>0.5</v>
      </c>
      <c r="E18"/>
      <c r="F18"/>
      <c r="G18" s="507"/>
      <c r="H18" s="507"/>
      <c r="L18" s="14"/>
      <c r="M18" s="14"/>
      <c r="N18" s="14"/>
      <c r="O18" s="14"/>
      <c r="P18" s="14"/>
      <c r="Q18" s="14"/>
      <c r="R18" s="14"/>
      <c r="T18"/>
      <c r="U18"/>
      <c r="V18"/>
      <c r="W18"/>
      <c r="X18"/>
      <c r="Y18"/>
      <c r="Z18"/>
    </row>
    <row r="19" spans="2:26" ht="15">
      <c r="B19" s="578" t="s">
        <v>353</v>
      </c>
      <c r="C19" s="579" t="s">
        <v>1</v>
      </c>
      <c r="D19" s="580">
        <f>1-D18</f>
        <v>0.5</v>
      </c>
      <c r="E19"/>
      <c r="F19"/>
      <c r="G19" s="513"/>
      <c r="H19" s="513"/>
      <c r="L19" s="14"/>
      <c r="M19" s="14"/>
      <c r="N19" s="14"/>
      <c r="O19" s="14"/>
      <c r="P19" s="14"/>
      <c r="Q19" s="14"/>
      <c r="R19" s="14"/>
      <c r="T19"/>
      <c r="U19"/>
      <c r="V19"/>
      <c r="W19"/>
      <c r="X19"/>
      <c r="Y19"/>
      <c r="Z19"/>
    </row>
    <row r="20" spans="4:26" ht="15">
      <c r="D20"/>
      <c r="E20"/>
      <c r="F20"/>
      <c r="G20" s="513"/>
      <c r="H20" s="513"/>
      <c r="L20" s="14"/>
      <c r="M20" s="14"/>
      <c r="N20" s="14"/>
      <c r="O20" s="14"/>
      <c r="P20" s="14"/>
      <c r="Q20" s="14"/>
      <c r="R20" s="14"/>
      <c r="T20"/>
      <c r="U20"/>
      <c r="V20"/>
      <c r="W20"/>
      <c r="X20"/>
      <c r="Y20"/>
      <c r="Z20"/>
    </row>
    <row r="21" spans="2:26" ht="15">
      <c r="B21" s="486"/>
      <c r="D21"/>
      <c r="E21"/>
      <c r="F21"/>
      <c r="G21" s="513"/>
      <c r="H21" s="513"/>
      <c r="L21" s="14"/>
      <c r="M21" s="14"/>
      <c r="N21" s="14"/>
      <c r="O21" s="14"/>
      <c r="P21" s="14"/>
      <c r="Q21" s="14"/>
      <c r="R21" s="14"/>
      <c r="T21"/>
      <c r="U21"/>
      <c r="V21"/>
      <c r="W21"/>
      <c r="X21"/>
      <c r="Y21"/>
      <c r="Z21"/>
    </row>
    <row r="22" spans="2:26" ht="15">
      <c r="B22" s="486"/>
      <c r="E22"/>
      <c r="F22"/>
      <c r="G22" s="513"/>
      <c r="H22" s="513"/>
      <c r="L22" s="14"/>
      <c r="M22" s="14"/>
      <c r="N22" s="14"/>
      <c r="O22" s="14"/>
      <c r="P22" s="14"/>
      <c r="Q22" s="14"/>
      <c r="R22" s="14"/>
      <c r="T22"/>
      <c r="U22"/>
      <c r="V22"/>
      <c r="W22"/>
      <c r="X22"/>
      <c r="Y22"/>
      <c r="Z22"/>
    </row>
    <row r="23" spans="2:26" ht="15">
      <c r="B23" s="486"/>
      <c r="E23"/>
      <c r="F23"/>
      <c r="G23" s="513"/>
      <c r="H23" s="513"/>
      <c r="L23" s="14"/>
      <c r="M23" s="14"/>
      <c r="N23" s="14"/>
      <c r="O23" s="14"/>
      <c r="P23" s="14"/>
      <c r="Q23" s="14"/>
      <c r="R23" s="14"/>
      <c r="T23"/>
      <c r="U23"/>
      <c r="V23"/>
      <c r="W23"/>
      <c r="X23"/>
      <c r="Y23"/>
      <c r="Z23"/>
    </row>
    <row r="24" spans="2:26" ht="15">
      <c r="B24" s="486"/>
      <c r="E24"/>
      <c r="F24"/>
      <c r="G24" s="513"/>
      <c r="H24" s="513"/>
      <c r="L24" s="14"/>
      <c r="M24" s="14"/>
      <c r="N24" s="14"/>
      <c r="O24" s="14"/>
      <c r="P24" s="14"/>
      <c r="Q24" s="14"/>
      <c r="R24" s="14"/>
      <c r="T24"/>
      <c r="U24"/>
      <c r="V24"/>
      <c r="W24"/>
      <c r="X24"/>
      <c r="Y24"/>
      <c r="Z24"/>
    </row>
    <row r="25" spans="4:26" ht="15">
      <c r="D25" s="501"/>
      <c r="E25"/>
      <c r="F25"/>
      <c r="L25" s="14"/>
      <c r="M25" s="14"/>
      <c r="N25" s="14"/>
      <c r="O25" s="14"/>
      <c r="P25" s="14"/>
      <c r="Q25" s="14"/>
      <c r="R25" s="14"/>
      <c r="T25"/>
      <c r="U25"/>
      <c r="V25"/>
      <c r="W25"/>
      <c r="X25"/>
      <c r="Y25"/>
      <c r="Z25"/>
    </row>
    <row r="26" spans="5:26" ht="15">
      <c r="E26"/>
      <c r="F26"/>
      <c r="L26" s="14"/>
      <c r="M26" s="14"/>
      <c r="N26" s="14"/>
      <c r="O26" s="14"/>
      <c r="P26" s="14"/>
      <c r="Q26" s="14"/>
      <c r="R26" s="14"/>
      <c r="T26"/>
      <c r="U26"/>
      <c r="V26"/>
      <c r="W26"/>
      <c r="X26"/>
      <c r="Y26"/>
      <c r="Z26"/>
    </row>
    <row r="27" spans="5:26" ht="15">
      <c r="E27" s="25"/>
      <c r="F27"/>
      <c r="O27" s="14"/>
      <c r="P27" s="14"/>
      <c r="Q27" s="14"/>
      <c r="R27" s="14"/>
      <c r="S27" s="14"/>
      <c r="V27"/>
      <c r="W27"/>
      <c r="X27"/>
      <c r="Y27"/>
      <c r="Z27"/>
    </row>
    <row r="28" spans="1:8" ht="15.75">
      <c r="A28" s="489"/>
      <c r="D28" s="539"/>
      <c r="H28" s="25"/>
    </row>
    <row r="29" spans="1:8" ht="15.75">
      <c r="A29" s="489"/>
      <c r="H29" s="25"/>
    </row>
    <row r="31" spans="4:6" ht="15">
      <c r="D31" s="514"/>
      <c r="E31" s="501"/>
      <c r="F31" s="501"/>
    </row>
    <row r="32" ht="15">
      <c r="D32" s="511"/>
    </row>
    <row r="33" ht="15">
      <c r="D33" s="515"/>
    </row>
    <row r="34" spans="5:6" ht="15">
      <c r="E34" s="539"/>
      <c r="F34" s="539"/>
    </row>
    <row r="36" ht="15">
      <c r="F36"/>
    </row>
    <row r="37" spans="4:6" ht="15">
      <c r="D37" s="538"/>
      <c r="E37" s="514"/>
      <c r="F37"/>
    </row>
    <row r="38" spans="5:6" ht="15">
      <c r="E38" s="511"/>
      <c r="F38"/>
    </row>
    <row r="39" spans="5:6" ht="15">
      <c r="E39" s="515"/>
      <c r="F39"/>
    </row>
    <row r="40" ht="15">
      <c r="F40"/>
    </row>
    <row r="43" spans="5:6" ht="15">
      <c r="E43" s="538"/>
      <c r="F43" s="538"/>
    </row>
    <row r="47" ht="15">
      <c r="G47" s="477"/>
    </row>
    <row r="48" ht="15">
      <c r="G48" s="477"/>
    </row>
    <row r="49" ht="15">
      <c r="G49" s="477"/>
    </row>
    <row r="50" ht="15">
      <c r="G50" s="477"/>
    </row>
  </sheetData>
  <sheetProtection/>
  <protectedRanges>
    <protectedRange sqref="D9" name="Column G Inputs_1"/>
  </protectedRanges>
  <mergeCells count="1">
    <mergeCell ref="K2:L2"/>
  </mergeCells>
  <printOptions/>
  <pageMargins left="0.7" right="0.7" top="0.75" bottom="0.75" header="0.3" footer="0.3"/>
  <pageSetup fitToHeight="1" fitToWidth="1" horizontalDpi="600" verticalDpi="600" orientation="landscape" scale="63" r:id="rId3"/>
  <headerFooter>
    <oddHeader>&amp;L&amp;F
Worksheet: &amp;A
&amp;D</oddHeader>
    <oddFooter>&amp;C&amp;P of &amp;N</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AJ228"/>
  <sheetViews>
    <sheetView showGridLines="0" zoomScale="85" zoomScaleNormal="85" zoomScalePageLayoutView="70" workbookViewId="0" topLeftCell="B1">
      <selection activeCell="Q75" sqref="Q75"/>
    </sheetView>
  </sheetViews>
  <sheetFormatPr defaultColWidth="13.7109375" defaultRowHeight="15"/>
  <cols>
    <col min="1" max="1" width="5.421875" style="63" hidden="1" customWidth="1"/>
    <col min="2" max="2" width="46.421875" style="63" customWidth="1"/>
    <col min="3" max="3" width="15.28125" style="63" customWidth="1"/>
    <col min="4" max="4" width="11.7109375" style="63" customWidth="1"/>
    <col min="5" max="5" width="17.421875" style="63" customWidth="1"/>
    <col min="6" max="6" width="15.8515625" style="63" customWidth="1"/>
    <col min="7" max="7" width="15.140625" style="63" customWidth="1"/>
    <col min="8" max="36" width="13.7109375" style="63" customWidth="1"/>
    <col min="37" max="228" width="9.140625" style="63" customWidth="1"/>
    <col min="229" max="229" width="5.421875" style="63" customWidth="1"/>
    <col min="230" max="230" width="56.57421875" style="63" customWidth="1"/>
    <col min="231" max="231" width="15.28125" style="63" customWidth="1"/>
    <col min="232" max="232" width="15.8515625" style="63" customWidth="1"/>
    <col min="233" max="233" width="15.140625" style="63" customWidth="1"/>
    <col min="234" max="16384" width="13.7109375" style="63" customWidth="1"/>
  </cols>
  <sheetData>
    <row r="1" ht="15.75">
      <c r="F1" s="28" t="s">
        <v>56</v>
      </c>
    </row>
    <row r="2" spans="2:36" s="27" customFormat="1" ht="15">
      <c r="B2" s="29" t="s">
        <v>111</v>
      </c>
      <c r="C2" s="29"/>
      <c r="D2" s="29"/>
      <c r="E2" s="92" t="s">
        <v>51</v>
      </c>
      <c r="F2" s="30">
        <v>0</v>
      </c>
      <c r="G2" s="30">
        <v>1</v>
      </c>
      <c r="H2" s="30">
        <v>2</v>
      </c>
      <c r="I2" s="30">
        <v>3</v>
      </c>
      <c r="J2" s="30">
        <v>4</v>
      </c>
      <c r="K2" s="30">
        <v>5</v>
      </c>
      <c r="L2" s="30">
        <v>6</v>
      </c>
      <c r="M2" s="30">
        <v>7</v>
      </c>
      <c r="N2" s="30">
        <v>8</v>
      </c>
      <c r="O2" s="30">
        <v>9</v>
      </c>
      <c r="P2" s="30">
        <v>10</v>
      </c>
      <c r="Q2" s="30">
        <v>11</v>
      </c>
      <c r="R2" s="30">
        <v>12</v>
      </c>
      <c r="S2" s="30">
        <v>13</v>
      </c>
      <c r="T2" s="30">
        <v>14</v>
      </c>
      <c r="U2" s="30">
        <v>15</v>
      </c>
      <c r="V2" s="30">
        <v>16</v>
      </c>
      <c r="W2" s="30">
        <v>17</v>
      </c>
      <c r="X2" s="30">
        <v>18</v>
      </c>
      <c r="Y2" s="30">
        <v>19</v>
      </c>
      <c r="Z2" s="30">
        <v>20</v>
      </c>
      <c r="AA2" s="30">
        <v>21</v>
      </c>
      <c r="AB2" s="30">
        <v>22</v>
      </c>
      <c r="AC2" s="30">
        <v>23</v>
      </c>
      <c r="AD2" s="30">
        <v>24</v>
      </c>
      <c r="AE2" s="30">
        <v>25</v>
      </c>
      <c r="AF2" s="30">
        <v>26</v>
      </c>
      <c r="AG2" s="30">
        <v>27</v>
      </c>
      <c r="AH2" s="30">
        <v>28</v>
      </c>
      <c r="AI2" s="30">
        <v>29</v>
      </c>
      <c r="AJ2" s="30">
        <v>30</v>
      </c>
    </row>
    <row r="3" s="27" customFormat="1" ht="15"/>
    <row r="4" spans="2:36" s="27" customFormat="1" ht="15">
      <c r="B4" s="27" t="s">
        <v>57</v>
      </c>
      <c r="E4" s="66"/>
      <c r="G4" s="145">
        <v>1</v>
      </c>
      <c r="H4" s="31">
        <f>G4*(1-'CREST Inputs'!$G$14)</f>
        <v>0.995</v>
      </c>
      <c r="I4" s="31">
        <f>H4*(1-'CREST Inputs'!$G$14)</f>
        <v>0.990025</v>
      </c>
      <c r="J4" s="31">
        <f>I4*(1-'CREST Inputs'!$G$14)</f>
        <v>0.985074875</v>
      </c>
      <c r="K4" s="31">
        <f>J4*(1-'CREST Inputs'!$G$14)</f>
        <v>0.9801495006250001</v>
      </c>
      <c r="L4" s="31">
        <f>K4*(1-'CREST Inputs'!$G$14)</f>
        <v>0.9752487531218751</v>
      </c>
      <c r="M4" s="31">
        <f>L4*(1-'CREST Inputs'!$G$14)</f>
        <v>0.9703725093562657</v>
      </c>
      <c r="N4" s="31">
        <f>M4*(1-'CREST Inputs'!$G$14)</f>
        <v>0.9655206468094844</v>
      </c>
      <c r="O4" s="31">
        <f>N4*(1-'CREST Inputs'!$G$14)</f>
        <v>0.960693043575437</v>
      </c>
      <c r="P4" s="31">
        <f>O4*(1-'CREST Inputs'!$G$14)</f>
        <v>0.9558895783575597</v>
      </c>
      <c r="Q4" s="31">
        <f>P4*(1-'CREST Inputs'!$G$14)</f>
        <v>0.9511101304657719</v>
      </c>
      <c r="R4" s="31">
        <f>Q4*(1-'CREST Inputs'!$G$14)</f>
        <v>0.946354579813443</v>
      </c>
      <c r="S4" s="31">
        <f>R4*(1-'CREST Inputs'!$G$14)</f>
        <v>0.9416228069143757</v>
      </c>
      <c r="T4" s="31">
        <f>S4*(1-'CREST Inputs'!$G$14)</f>
        <v>0.9369146928798039</v>
      </c>
      <c r="U4" s="31">
        <f>T4*(1-'CREST Inputs'!$G$14)</f>
        <v>0.9322301194154049</v>
      </c>
      <c r="V4" s="31">
        <f>U4*(1-'CREST Inputs'!$G$14)</f>
        <v>0.9275689688183278</v>
      </c>
      <c r="W4" s="31">
        <f>V4*(1-'CREST Inputs'!$G$14)</f>
        <v>0.9229311239742362</v>
      </c>
      <c r="X4" s="31">
        <f>W4*(1-'CREST Inputs'!$G$14)</f>
        <v>0.918316468354365</v>
      </c>
      <c r="Y4" s="31">
        <f>X4*(1-'CREST Inputs'!$G$14)</f>
        <v>0.9137248860125932</v>
      </c>
      <c r="Z4" s="31">
        <f>Y4*(1-'CREST Inputs'!$G$14)</f>
        <v>0.9091562615825302</v>
      </c>
      <c r="AA4" s="31">
        <f>Z4*(1-'CREST Inputs'!$G$14)</f>
        <v>0.9046104802746175</v>
      </c>
      <c r="AB4" s="31">
        <f>AA4*(1-'CREST Inputs'!$G$14)</f>
        <v>0.9000874278732445</v>
      </c>
      <c r="AC4" s="31">
        <f>AB4*(1-'CREST Inputs'!$G$14)</f>
        <v>0.8955869907338783</v>
      </c>
      <c r="AD4" s="31">
        <f>AC4*(1-'CREST Inputs'!$G$14)</f>
        <v>0.8911090557802088</v>
      </c>
      <c r="AE4" s="31">
        <f>AD4*(1-'CREST Inputs'!$G$14)</f>
        <v>0.8866535105013078</v>
      </c>
      <c r="AF4" s="31">
        <f>AE4*(1-'CREST Inputs'!$G$14)</f>
        <v>0.8822202429488013</v>
      </c>
      <c r="AG4" s="31">
        <f>AF4*(1-'CREST Inputs'!$G$14)</f>
        <v>0.8778091417340573</v>
      </c>
      <c r="AH4" s="31">
        <f>AG4*(1-'CREST Inputs'!$G$14)</f>
        <v>0.8734200960253871</v>
      </c>
      <c r="AI4" s="31">
        <f>AH4*(1-'CREST Inputs'!$G$14)</f>
        <v>0.8690529955452602</v>
      </c>
      <c r="AJ4" s="31">
        <f>AI4*(1-'CREST Inputs'!$G$14)</f>
        <v>0.8647077305675338</v>
      </c>
    </row>
    <row r="5" spans="2:36" s="27" customFormat="1" ht="15.75">
      <c r="B5" s="32" t="s">
        <v>3</v>
      </c>
      <c r="C5" s="32"/>
      <c r="D5" s="32"/>
      <c r="E5" s="66" t="s">
        <v>2</v>
      </c>
      <c r="G5" s="33">
        <f>'CREST Inputs'!$G$13</f>
        <v>3620800</v>
      </c>
      <c r="H5" s="33">
        <f>IF(H$2&gt;'CREST Inputs'!$G$15,0,'CREST Inputs'!$G$13*H$4)</f>
        <v>3602696</v>
      </c>
      <c r="I5" s="33">
        <f>IF(I$2&gt;'CREST Inputs'!$G$15,0,'CREST Inputs'!$G$13*I$4)</f>
        <v>3584682.52</v>
      </c>
      <c r="J5" s="33">
        <f>IF(J$2&gt;'CREST Inputs'!$G$15,0,'CREST Inputs'!$G$13*J$4)</f>
        <v>3566759.1074</v>
      </c>
      <c r="K5" s="33">
        <f>IF(K$2&gt;'CREST Inputs'!$G$15,0,'CREST Inputs'!$G$13*K$4)</f>
        <v>3548925.311863</v>
      </c>
      <c r="L5" s="33">
        <f>IF(L$2&gt;'CREST Inputs'!$G$15,0,'CREST Inputs'!$G$13*L$4)</f>
        <v>3531180.6853036853</v>
      </c>
      <c r="M5" s="33">
        <f>IF(M$2&gt;'CREST Inputs'!$G$15,0,'CREST Inputs'!$G$13*M$4)</f>
        <v>3513524.781877167</v>
      </c>
      <c r="N5" s="33">
        <f>IF(N$2&gt;'CREST Inputs'!$G$15,0,'CREST Inputs'!$G$13*N$4)</f>
        <v>3495957.1579677807</v>
      </c>
      <c r="O5" s="33">
        <f>IF(O$2&gt;'CREST Inputs'!$G$15,0,'CREST Inputs'!$G$13*O$4)</f>
        <v>3478477.372177942</v>
      </c>
      <c r="P5" s="33">
        <f>IF(P$2&gt;'CREST Inputs'!$G$15,0,'CREST Inputs'!$G$13*P$4)</f>
        <v>3461084.9853170523</v>
      </c>
      <c r="Q5" s="33">
        <f>IF(Q$2&gt;'CREST Inputs'!$G$15,0,'CREST Inputs'!$G$13*Q$4)</f>
        <v>3443779.560390467</v>
      </c>
      <c r="R5" s="33">
        <f>IF(R$2&gt;'CREST Inputs'!$G$15,0,'CREST Inputs'!$G$13*R$4)</f>
        <v>3426560.6625885144</v>
      </c>
      <c r="S5" s="33">
        <f>IF(S$2&gt;'CREST Inputs'!$G$15,0,'CREST Inputs'!$G$13*S$4)</f>
        <v>3409427.8592755715</v>
      </c>
      <c r="T5" s="33">
        <f>IF(T$2&gt;'CREST Inputs'!$G$15,0,'CREST Inputs'!$G$13*T$4)</f>
        <v>3392380.719979194</v>
      </c>
      <c r="U5" s="33">
        <f>IF(U$2&gt;'CREST Inputs'!$G$15,0,'CREST Inputs'!$G$13*U$4)</f>
        <v>3375418.816379298</v>
      </c>
      <c r="V5" s="33">
        <f>IF(V$2&gt;'CREST Inputs'!$G$15,0,'CREST Inputs'!$G$13*V$4)</f>
        <v>3358541.7222974016</v>
      </c>
      <c r="W5" s="33">
        <f>IF(W$2&gt;'CREST Inputs'!$G$15,0,'CREST Inputs'!$G$13*W$4)</f>
        <v>3341749.013685914</v>
      </c>
      <c r="X5" s="33">
        <f>IF(X$2&gt;'CREST Inputs'!$G$15,0,'CREST Inputs'!$G$13*X$4)</f>
        <v>3325040.2686174847</v>
      </c>
      <c r="Y5" s="33">
        <f>IF(Y$2&gt;'CREST Inputs'!$G$15,0,'CREST Inputs'!$G$13*Y$4)</f>
        <v>3308415.0672743972</v>
      </c>
      <c r="Z5" s="33">
        <f>IF(Z$2&gt;'CREST Inputs'!$G$15,0,'CREST Inputs'!$G$13*Z$4)</f>
        <v>3291872.991938025</v>
      </c>
      <c r="AA5" s="33">
        <f>IF(AA$2&gt;'CREST Inputs'!$G$15,0,'CREST Inputs'!$G$13*AA$4)</f>
        <v>3275413.6269783354</v>
      </c>
      <c r="AB5" s="33">
        <f>IF(AB$2&gt;'CREST Inputs'!$G$15,0,'CREST Inputs'!$G$13*AB$4)</f>
        <v>3259036.5588434436</v>
      </c>
      <c r="AC5" s="33">
        <f>IF(AC$2&gt;'CREST Inputs'!$G$15,0,'CREST Inputs'!$G$13*AC$4)</f>
        <v>3242741.3760492266</v>
      </c>
      <c r="AD5" s="33">
        <f>IF(AD$2&gt;'CREST Inputs'!$G$15,0,'CREST Inputs'!$G$13*AD$4)</f>
        <v>3226527.6691689803</v>
      </c>
      <c r="AE5" s="33">
        <f>IF(AE$2&gt;'CREST Inputs'!$G$15,0,'CREST Inputs'!$G$13*AE$4)</f>
        <v>3210395.0308231353</v>
      </c>
      <c r="AF5" s="33">
        <f>IF(AF$2&gt;'CREST Inputs'!$G$15,0,'CREST Inputs'!$G$13*AF$4)</f>
        <v>0</v>
      </c>
      <c r="AG5" s="33">
        <f>IF(AG$2&gt;'CREST Inputs'!$G$15,0,'CREST Inputs'!$G$13*AG$4)</f>
        <v>0</v>
      </c>
      <c r="AH5" s="33">
        <f>IF(AH$2&gt;'CREST Inputs'!$G$15,0,'CREST Inputs'!$G$13*AH$4)</f>
        <v>0</v>
      </c>
      <c r="AI5" s="33">
        <f>IF(AI$2&gt;'CREST Inputs'!$G$15,0,'CREST Inputs'!$G$13*AI$4)</f>
        <v>0</v>
      </c>
      <c r="AJ5" s="33">
        <f>IF(AJ$2&gt;'CREST Inputs'!$G$15,0,'CREST Inputs'!$G$13*AJ$4)</f>
        <v>0</v>
      </c>
    </row>
    <row r="6" spans="2:36" s="27" customFormat="1" ht="15.75">
      <c r="B6" s="32"/>
      <c r="C6" s="32"/>
      <c r="D6" s="32"/>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row>
    <row r="7" spans="2:5" s="27" customFormat="1" ht="15.75">
      <c r="B7" s="32" t="s">
        <v>89</v>
      </c>
      <c r="C7" s="32"/>
      <c r="D7" s="32"/>
      <c r="E7" s="66"/>
    </row>
    <row r="8" spans="2:36" s="27" customFormat="1" ht="15">
      <c r="B8" s="27" t="s">
        <v>90</v>
      </c>
      <c r="E8" s="66"/>
      <c r="G8" s="145">
        <v>1</v>
      </c>
      <c r="H8" s="31">
        <f>G8*(1+('CREST Inputs'!$Q$10*'CREST Inputs'!$Q$9))</f>
        <v>1</v>
      </c>
      <c r="I8" s="31">
        <f>H8*(1+('CREST Inputs'!$Q$10*'CREST Inputs'!$Q$9))</f>
        <v>1</v>
      </c>
      <c r="J8" s="31">
        <f>I8*(1+('CREST Inputs'!$Q$10*'CREST Inputs'!$Q$9))</f>
        <v>1</v>
      </c>
      <c r="K8" s="31">
        <f>J8*(1+('CREST Inputs'!$Q$10*'CREST Inputs'!$Q$9))</f>
        <v>1</v>
      </c>
      <c r="L8" s="31">
        <f>K8*(1+('CREST Inputs'!$Q$10*'CREST Inputs'!$Q$9))</f>
        <v>1</v>
      </c>
      <c r="M8" s="31">
        <f>L8*(1+('CREST Inputs'!$Q$10*'CREST Inputs'!$Q$9))</f>
        <v>1</v>
      </c>
      <c r="N8" s="31">
        <f>M8*(1+('CREST Inputs'!$Q$10*'CREST Inputs'!$Q$9))</f>
        <v>1</v>
      </c>
      <c r="O8" s="31">
        <f>N8*(1+('CREST Inputs'!$Q$10*'CREST Inputs'!$Q$9))</f>
        <v>1</v>
      </c>
      <c r="P8" s="31">
        <f>O8*(1+('CREST Inputs'!$Q$10*'CREST Inputs'!$Q$9))</f>
        <v>1</v>
      </c>
      <c r="Q8" s="31">
        <f>P8*(1+('CREST Inputs'!$Q$10*'CREST Inputs'!$Q$9))</f>
        <v>1</v>
      </c>
      <c r="R8" s="31">
        <f>Q8*(1+('CREST Inputs'!$Q$10*'CREST Inputs'!$Q$9))</f>
        <v>1</v>
      </c>
      <c r="S8" s="31">
        <f>R8*(1+('CREST Inputs'!$Q$10*'CREST Inputs'!$Q$9))</f>
        <v>1</v>
      </c>
      <c r="T8" s="31">
        <f>S8*(1+('CREST Inputs'!$Q$10*'CREST Inputs'!$Q$9))</f>
        <v>1</v>
      </c>
      <c r="U8" s="31">
        <f>T8*(1+('CREST Inputs'!$Q$10*'CREST Inputs'!$Q$9))</f>
        <v>1</v>
      </c>
      <c r="V8" s="31">
        <f>U8*(1+('CREST Inputs'!$Q$10*'CREST Inputs'!$Q$9))</f>
        <v>1</v>
      </c>
      <c r="W8" s="31">
        <f>V8*(1+('CREST Inputs'!$Q$10*'CREST Inputs'!$Q$9))</f>
        <v>1</v>
      </c>
      <c r="X8" s="31">
        <f>W8*(1+('CREST Inputs'!$Q$10*'CREST Inputs'!$Q$9))</f>
        <v>1</v>
      </c>
      <c r="Y8" s="31">
        <f>X8*(1+('CREST Inputs'!$Q$10*'CREST Inputs'!$Q$9))</f>
        <v>1</v>
      </c>
      <c r="Z8" s="31">
        <f>Y8*(1+('CREST Inputs'!$Q$10*'CREST Inputs'!$Q$9))</f>
        <v>1</v>
      </c>
      <c r="AA8" s="31">
        <f>Z8*(1+('CREST Inputs'!$Q$10*'CREST Inputs'!$Q$9))</f>
        <v>1</v>
      </c>
      <c r="AB8" s="31">
        <f>AA8*(1+('CREST Inputs'!$Q$10*'CREST Inputs'!$Q$9))</f>
        <v>1</v>
      </c>
      <c r="AC8" s="31">
        <f>AB8*(1+('CREST Inputs'!$Q$10*'CREST Inputs'!$Q$9))</f>
        <v>1</v>
      </c>
      <c r="AD8" s="31">
        <f>AC8*(1+('CREST Inputs'!$Q$10*'CREST Inputs'!$Q$9))</f>
        <v>1</v>
      </c>
      <c r="AE8" s="31">
        <f>AD8*(1+('CREST Inputs'!$Q$10*'CREST Inputs'!$Q$9))</f>
        <v>1</v>
      </c>
      <c r="AF8" s="31">
        <f>AE8*(1+('CREST Inputs'!$Q$10*'CREST Inputs'!$Q$9))</f>
        <v>1</v>
      </c>
      <c r="AG8" s="31">
        <f>AF8*(1+('CREST Inputs'!$Q$10*'CREST Inputs'!$Q$9))</f>
        <v>1</v>
      </c>
      <c r="AH8" s="31">
        <f>AG8*(1+('CREST Inputs'!$Q$10*'CREST Inputs'!$Q$9))</f>
        <v>1</v>
      </c>
      <c r="AI8" s="31">
        <f>AH8*(1+('CREST Inputs'!$Q$10*'CREST Inputs'!$Q$9))</f>
        <v>1</v>
      </c>
      <c r="AJ8" s="31">
        <f>AI8*(1+('CREST Inputs'!$Q$10*'CREST Inputs'!$Q$9))</f>
        <v>1</v>
      </c>
    </row>
    <row r="9" spans="2:36" s="27" customFormat="1" ht="15">
      <c r="B9" s="27" t="s">
        <v>130</v>
      </c>
      <c r="E9" s="66"/>
      <c r="G9" s="145">
        <v>1</v>
      </c>
      <c r="H9" s="31">
        <f>G9*(1+'CREST Inputs'!$Q$28)</f>
        <v>1.02</v>
      </c>
      <c r="I9" s="31">
        <f>H9*(1+'CREST Inputs'!$Q$28)</f>
        <v>1.0404</v>
      </c>
      <c r="J9" s="31">
        <f>I9*(1+'CREST Inputs'!$Q$28)</f>
        <v>1.061208</v>
      </c>
      <c r="K9" s="31">
        <f>J9*(1+'CREST Inputs'!$Q$28)</f>
        <v>1.08243216</v>
      </c>
      <c r="L9" s="31">
        <f>K9*(1+'CREST Inputs'!$Q$28)</f>
        <v>1.1040808032</v>
      </c>
      <c r="M9" s="31">
        <f>L9*(1+'CREST Inputs'!$Q$28)</f>
        <v>1.126162419264</v>
      </c>
      <c r="N9" s="31">
        <f>M9*(1+'CREST Inputs'!$Q$28)</f>
        <v>1.14868566764928</v>
      </c>
      <c r="O9" s="31">
        <f>N9*(1+'CREST Inputs'!$Q$28)</f>
        <v>1.1716593810022657</v>
      </c>
      <c r="P9" s="31">
        <f>O9*(1+'CREST Inputs'!$Q$28)</f>
        <v>1.195092568622311</v>
      </c>
      <c r="Q9" s="31">
        <f>P9*(1+'CREST Inputs'!$Q$28)</f>
        <v>1.2189944199947573</v>
      </c>
      <c r="R9" s="31">
        <f>Q9*(1+'CREST Inputs'!$Q$28)</f>
        <v>1.2433743083946525</v>
      </c>
      <c r="S9" s="31">
        <f>R9*(1+'CREST Inputs'!$Q$28)</f>
        <v>1.2682417945625455</v>
      </c>
      <c r="T9" s="31">
        <f>S9*(1+'CREST Inputs'!$Q$28)</f>
        <v>1.2936066304537963</v>
      </c>
      <c r="U9" s="31">
        <f>T9*(1+'CREST Inputs'!$Q$28)</f>
        <v>1.3194787630628724</v>
      </c>
      <c r="V9" s="31">
        <f>U9*(1+'CREST Inputs'!$Q$28)</f>
        <v>1.3458683383241299</v>
      </c>
      <c r="W9" s="31">
        <f>V9*(1+'CREST Inputs'!$Q$28)</f>
        <v>1.3727857050906125</v>
      </c>
      <c r="X9" s="31">
        <f>W9*(1+'CREST Inputs'!$Q$28)</f>
        <v>1.4002414191924248</v>
      </c>
      <c r="Y9" s="31">
        <f>X9*(1+'CREST Inputs'!$Q$28)</f>
        <v>1.4282462475762734</v>
      </c>
      <c r="Z9" s="31">
        <f>Y9*(1+'CREST Inputs'!$Q$28)</f>
        <v>1.4568111725277988</v>
      </c>
      <c r="AA9" s="31">
        <f>Z9*(1+'CREST Inputs'!$Q$28)</f>
        <v>1.485947395978355</v>
      </c>
      <c r="AB9" s="31">
        <f>AA9*(1+'CREST Inputs'!$Q$28)</f>
        <v>1.515666343897922</v>
      </c>
      <c r="AC9" s="31">
        <f>AB9*(1+'CREST Inputs'!$Q$28)</f>
        <v>1.5459796707758806</v>
      </c>
      <c r="AD9" s="31">
        <f>AC9*(1+'CREST Inputs'!$Q$28)</f>
        <v>1.5768992641913981</v>
      </c>
      <c r="AE9" s="31">
        <f>AD9*(1+'CREST Inputs'!$Q$28)</f>
        <v>1.6084372494752261</v>
      </c>
      <c r="AF9" s="31">
        <f>AE9*(1+'CREST Inputs'!$Q$28)</f>
        <v>1.6406059944647307</v>
      </c>
      <c r="AG9" s="31">
        <f>AF9*(1+'CREST Inputs'!$Q$28)</f>
        <v>1.6734181143540252</v>
      </c>
      <c r="AH9" s="31">
        <f>AG9*(1+'CREST Inputs'!$Q$28)</f>
        <v>1.7068864766411058</v>
      </c>
      <c r="AI9" s="31">
        <f>AH9*(1+'CREST Inputs'!$Q$28)</f>
        <v>1.741024206173928</v>
      </c>
      <c r="AJ9" s="31">
        <f>AI9*(1+'CREST Inputs'!$Q$28)</f>
        <v>1.7758446902974065</v>
      </c>
    </row>
    <row r="10" spans="2:36" s="27" customFormat="1" ht="15">
      <c r="B10" s="27" t="s">
        <v>131</v>
      </c>
      <c r="E10" s="66"/>
      <c r="G10" s="145">
        <v>1</v>
      </c>
      <c r="H10" s="31">
        <f>G10*(1+'CREST Inputs'!$Q$44)</f>
        <v>1.02</v>
      </c>
      <c r="I10" s="31">
        <f>H10*(1+'CREST Inputs'!$Q$44)</f>
        <v>1.0404</v>
      </c>
      <c r="J10" s="31">
        <f>I10*(1+'CREST Inputs'!$Q$44)</f>
        <v>1.061208</v>
      </c>
      <c r="K10" s="31">
        <f>J10*(1+'CREST Inputs'!$Q$44)</f>
        <v>1.08243216</v>
      </c>
      <c r="L10" s="31">
        <f>K10*(1+'CREST Inputs'!$Q$44)</f>
        <v>1.1040808032</v>
      </c>
      <c r="M10" s="31">
        <f>L10*(1+'CREST Inputs'!$Q$44)</f>
        <v>1.126162419264</v>
      </c>
      <c r="N10" s="31">
        <f>M10*(1+'CREST Inputs'!$Q$44)</f>
        <v>1.14868566764928</v>
      </c>
      <c r="O10" s="31">
        <f>N10*(1+'CREST Inputs'!$Q$44)</f>
        <v>1.1716593810022657</v>
      </c>
      <c r="P10" s="31">
        <f>O10*(1+'CREST Inputs'!$Q$44)</f>
        <v>1.195092568622311</v>
      </c>
      <c r="Q10" s="31">
        <f>P10*(1+'CREST Inputs'!$Q$44)</f>
        <v>1.2189944199947573</v>
      </c>
      <c r="R10" s="31">
        <f>Q10*(1+'CREST Inputs'!$Q$44)</f>
        <v>1.2433743083946525</v>
      </c>
      <c r="S10" s="31">
        <f>R10*(1+'CREST Inputs'!$Q$44)</f>
        <v>1.2682417945625455</v>
      </c>
      <c r="T10" s="31">
        <f>S10*(1+'CREST Inputs'!$Q$44)</f>
        <v>1.2936066304537963</v>
      </c>
      <c r="U10" s="31">
        <f>T10*(1+'CREST Inputs'!$Q$44)</f>
        <v>1.3194787630628724</v>
      </c>
      <c r="V10" s="31">
        <f>U10*(1+'CREST Inputs'!$Q$44)</f>
        <v>1.3458683383241299</v>
      </c>
      <c r="W10" s="31">
        <f>V10*(1+'CREST Inputs'!$Q$44)</f>
        <v>1.3727857050906125</v>
      </c>
      <c r="X10" s="31">
        <f>W10*(1+'CREST Inputs'!$Q$44)</f>
        <v>1.4002414191924248</v>
      </c>
      <c r="Y10" s="31">
        <f>X10*(1+'CREST Inputs'!$Q$44)</f>
        <v>1.4282462475762734</v>
      </c>
      <c r="Z10" s="31">
        <f>Y10*(1+'CREST Inputs'!$Q$44)</f>
        <v>1.4568111725277988</v>
      </c>
      <c r="AA10" s="31">
        <f>Z10*(1+'CREST Inputs'!$Q$44)</f>
        <v>1.485947395978355</v>
      </c>
      <c r="AB10" s="31">
        <f>AA10*(1+'CREST Inputs'!$Q$44)</f>
        <v>1.515666343897922</v>
      </c>
      <c r="AC10" s="31">
        <f>AB10*(1+'CREST Inputs'!$Q$44)</f>
        <v>1.5459796707758806</v>
      </c>
      <c r="AD10" s="31">
        <f>AC10*(1+'CREST Inputs'!$Q$44)</f>
        <v>1.5768992641913981</v>
      </c>
      <c r="AE10" s="31">
        <f>AD10*(1+'CREST Inputs'!$Q$44)</f>
        <v>1.6084372494752261</v>
      </c>
      <c r="AF10" s="31">
        <f>AE10*(1+'CREST Inputs'!$Q$44)</f>
        <v>1.6406059944647307</v>
      </c>
      <c r="AG10" s="31">
        <f>AF10*(1+'CREST Inputs'!$Q$44)</f>
        <v>1.6734181143540252</v>
      </c>
      <c r="AH10" s="31">
        <f>AG10*(1+'CREST Inputs'!$Q$44)</f>
        <v>1.7068864766411058</v>
      </c>
      <c r="AI10" s="31">
        <f>AH10*(1+'CREST Inputs'!$Q$44)</f>
        <v>1.741024206173928</v>
      </c>
      <c r="AJ10" s="31">
        <f>AI10*(1+'CREST Inputs'!$Q$44)</f>
        <v>1.7758446902974065</v>
      </c>
    </row>
    <row r="11" spans="5:36" s="27" customFormat="1" ht="15.75">
      <c r="E11" s="66"/>
      <c r="F11" s="66"/>
      <c r="G11" s="75"/>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row>
    <row r="12" spans="2:36" s="27" customFormat="1" ht="15">
      <c r="B12" s="34" t="s">
        <v>211</v>
      </c>
      <c r="C12" s="34"/>
      <c r="D12" s="34"/>
      <c r="E12" s="66" t="s">
        <v>50</v>
      </c>
      <c r="F12" s="192">
        <f>1-F13</f>
        <v>0.99</v>
      </c>
      <c r="G12" s="77">
        <f>$G$72*$F12</f>
        <v>13.612499999999997</v>
      </c>
      <c r="H12" s="77">
        <f>IF(H2&gt;'CREST Inputs'!$Q$8,0,G12)</f>
        <v>13.612499999999997</v>
      </c>
      <c r="I12" s="77">
        <f>IF(I2&gt;'CREST Inputs'!$Q$8,0,H12)</f>
        <v>13.612499999999997</v>
      </c>
      <c r="J12" s="77">
        <f>IF(J2&gt;'CREST Inputs'!$Q$8,0,I12)</f>
        <v>13.612499999999997</v>
      </c>
      <c r="K12" s="77">
        <f>IF(K2&gt;'CREST Inputs'!$Q$8,0,J12)</f>
        <v>13.612499999999997</v>
      </c>
      <c r="L12" s="77">
        <f>IF(L2&gt;'CREST Inputs'!$Q$8,0,K12)</f>
        <v>13.612499999999997</v>
      </c>
      <c r="M12" s="77">
        <f>IF(M2&gt;'CREST Inputs'!$Q$8,0,L12)</f>
        <v>13.612499999999997</v>
      </c>
      <c r="N12" s="77">
        <f>IF(N2&gt;'CREST Inputs'!$Q$8,0,M12)</f>
        <v>13.612499999999997</v>
      </c>
      <c r="O12" s="77">
        <f>IF(O2&gt;'CREST Inputs'!$Q$8,0,N12)</f>
        <v>13.612499999999997</v>
      </c>
      <c r="P12" s="77">
        <f>IF(P2&gt;'CREST Inputs'!$Q$8,0,O12)</f>
        <v>13.612499999999997</v>
      </c>
      <c r="Q12" s="77">
        <f>IF(Q2&gt;'CREST Inputs'!$Q$8,0,P12)</f>
        <v>13.612499999999997</v>
      </c>
      <c r="R12" s="77">
        <f>IF(R2&gt;'CREST Inputs'!$Q$8,0,Q12)</f>
        <v>13.612499999999997</v>
      </c>
      <c r="S12" s="77">
        <f>IF(S2&gt;'CREST Inputs'!$Q$8,0,R12)</f>
        <v>13.612499999999997</v>
      </c>
      <c r="T12" s="77">
        <f>IF(T2&gt;'CREST Inputs'!$Q$8,0,S12)</f>
        <v>13.612499999999997</v>
      </c>
      <c r="U12" s="77">
        <f>IF(U2&gt;'CREST Inputs'!$Q$8,0,T12)</f>
        <v>13.612499999999997</v>
      </c>
      <c r="V12" s="77">
        <f>IF(V2&gt;'CREST Inputs'!$Q$8,0,U12)</f>
        <v>0</v>
      </c>
      <c r="W12" s="77">
        <f>IF(W2&gt;'CREST Inputs'!$Q$8,0,V12)</f>
        <v>0</v>
      </c>
      <c r="X12" s="77">
        <f>IF(X2&gt;'CREST Inputs'!$Q$8,0,W12)</f>
        <v>0</v>
      </c>
      <c r="Y12" s="77">
        <f>IF(Y2&gt;'CREST Inputs'!$Q$8,0,X12)</f>
        <v>0</v>
      </c>
      <c r="Z12" s="77">
        <f>IF(Z2&gt;'CREST Inputs'!$Q$8,0,Y12)</f>
        <v>0</v>
      </c>
      <c r="AA12" s="77">
        <f>IF(AA2&gt;'CREST Inputs'!$Q$8,0,Z12)</f>
        <v>0</v>
      </c>
      <c r="AB12" s="77">
        <f>IF(AB2&gt;'CREST Inputs'!$Q$8,0,AA12)</f>
        <v>0</v>
      </c>
      <c r="AC12" s="77">
        <f>IF(AC2&gt;'CREST Inputs'!$Q$8,0,AB12)</f>
        <v>0</v>
      </c>
      <c r="AD12" s="77">
        <f>IF(AD2&gt;'CREST Inputs'!$Q$8,0,AC12)</f>
        <v>0</v>
      </c>
      <c r="AE12" s="77">
        <f>IF(AE2&gt;'CREST Inputs'!$Q$8,0,AD12)</f>
        <v>0</v>
      </c>
      <c r="AF12" s="77">
        <f>IF(AF2&gt;'CREST Inputs'!$Q$8,0,AE12)</f>
        <v>0</v>
      </c>
      <c r="AG12" s="77">
        <f>IF(AG2&gt;'CREST Inputs'!$Q$8,0,AF12)</f>
        <v>0</v>
      </c>
      <c r="AH12" s="77">
        <f>IF(AH2&gt;'CREST Inputs'!$Q$8,0,AG12)</f>
        <v>0</v>
      </c>
      <c r="AI12" s="77">
        <f>IF(AI2&gt;'CREST Inputs'!$Q$8,0,AH12)</f>
        <v>0</v>
      </c>
      <c r="AJ12" s="77">
        <f>IF(AJ2&gt;'CREST Inputs'!$Q$8,0,AI12)</f>
        <v>0</v>
      </c>
    </row>
    <row r="13" spans="2:36" s="27" customFormat="1" ht="15">
      <c r="B13" s="193" t="s">
        <v>213</v>
      </c>
      <c r="C13" s="193"/>
      <c r="D13" s="193"/>
      <c r="E13" s="66" t="s">
        <v>50</v>
      </c>
      <c r="F13" s="191">
        <f>'CREST Inputs'!Q9</f>
        <v>0.01</v>
      </c>
      <c r="G13" s="194">
        <f>$G$72*$F13</f>
        <v>0.13749999999999996</v>
      </c>
      <c r="H13" s="194">
        <f>IF(H2&gt;'CREST Inputs'!$Q$8,0,G13*(1+'CREST Inputs'!$Q$10))</f>
        <v>0.13749999999999996</v>
      </c>
      <c r="I13" s="194">
        <f>IF(I2&gt;'CREST Inputs'!$Q$8,0,H13*(1+'CREST Inputs'!$Q$10))</f>
        <v>0.13749999999999996</v>
      </c>
      <c r="J13" s="194">
        <f>IF(J2&gt;'CREST Inputs'!$Q$8,0,I13*(1+'CREST Inputs'!$Q$10))</f>
        <v>0.13749999999999996</v>
      </c>
      <c r="K13" s="194">
        <f>IF(K2&gt;'CREST Inputs'!$Q$8,0,J13*(1+'CREST Inputs'!$Q$10))</f>
        <v>0.13749999999999996</v>
      </c>
      <c r="L13" s="194">
        <f>IF(L2&gt;'CREST Inputs'!$Q$8,0,K13*(1+'CREST Inputs'!$Q$10))</f>
        <v>0.13749999999999996</v>
      </c>
      <c r="M13" s="194">
        <f>IF(M2&gt;'CREST Inputs'!$Q$8,0,L13*(1+'CREST Inputs'!$Q$10))</f>
        <v>0.13749999999999996</v>
      </c>
      <c r="N13" s="194">
        <f>IF(N2&gt;'CREST Inputs'!$Q$8,0,M13*(1+'CREST Inputs'!$Q$10))</f>
        <v>0.13749999999999996</v>
      </c>
      <c r="O13" s="194">
        <f>IF(O2&gt;'CREST Inputs'!$Q$8,0,N13*(1+'CREST Inputs'!$Q$10))</f>
        <v>0.13749999999999996</v>
      </c>
      <c r="P13" s="194">
        <f>IF(P2&gt;'CREST Inputs'!$Q$8,0,O13*(1+'CREST Inputs'!$Q$10))</f>
        <v>0.13749999999999996</v>
      </c>
      <c r="Q13" s="194">
        <f>IF(Q2&gt;'CREST Inputs'!$Q$8,0,P13*(1+'CREST Inputs'!$Q$10))</f>
        <v>0.13749999999999996</v>
      </c>
      <c r="R13" s="194">
        <f>IF(R2&gt;'CREST Inputs'!$Q$8,0,Q13*(1+'CREST Inputs'!$Q$10))</f>
        <v>0.13749999999999996</v>
      </c>
      <c r="S13" s="194">
        <f>IF(S2&gt;'CREST Inputs'!$Q$8,0,R13*(1+'CREST Inputs'!$Q$10))</f>
        <v>0.13749999999999996</v>
      </c>
      <c r="T13" s="194">
        <f>IF(T2&gt;'CREST Inputs'!$Q$8,0,S13*(1+'CREST Inputs'!$Q$10))</f>
        <v>0.13749999999999996</v>
      </c>
      <c r="U13" s="194">
        <f>IF(U2&gt;'CREST Inputs'!$Q$8,0,T13*(1+'CREST Inputs'!$Q$10))</f>
        <v>0.13749999999999996</v>
      </c>
      <c r="V13" s="194">
        <f>IF(V2&gt;'CREST Inputs'!$Q$8,0,U13*(1+'CREST Inputs'!$Q$10))</f>
        <v>0</v>
      </c>
      <c r="W13" s="194">
        <f>IF(W2&gt;'CREST Inputs'!$Q$8,0,V13*(1+'CREST Inputs'!$Q$10))</f>
        <v>0</v>
      </c>
      <c r="X13" s="194">
        <f>IF(X2&gt;'CREST Inputs'!$Q$8,0,W13*(1+'CREST Inputs'!$Q$10))</f>
        <v>0</v>
      </c>
      <c r="Y13" s="194">
        <f>IF(Y2&gt;'CREST Inputs'!$Q$8,0,X13*(1+'CREST Inputs'!$Q$10))</f>
        <v>0</v>
      </c>
      <c r="Z13" s="194">
        <f>IF(Z2&gt;'CREST Inputs'!$Q$8,0,Y13*(1+'CREST Inputs'!$Q$10))</f>
        <v>0</v>
      </c>
      <c r="AA13" s="194">
        <f>IF(AA2&gt;'CREST Inputs'!$Q$8,0,Z13*(1+'CREST Inputs'!$Q$10))</f>
        <v>0</v>
      </c>
      <c r="AB13" s="194">
        <f>IF(AB2&gt;'CREST Inputs'!$Q$8,0,AA13*(1+'CREST Inputs'!$Q$10))</f>
        <v>0</v>
      </c>
      <c r="AC13" s="194">
        <f>IF(AC2&gt;'CREST Inputs'!$Q$8,0,AB13*(1+'CREST Inputs'!$Q$10))</f>
        <v>0</v>
      </c>
      <c r="AD13" s="194">
        <f>IF(AD2&gt;'CREST Inputs'!$Q$8,0,AC13*(1+'CREST Inputs'!$Q$10))</f>
        <v>0</v>
      </c>
      <c r="AE13" s="194">
        <f>IF(AE2&gt;'CREST Inputs'!$Q$8,0,AD13*(1+'CREST Inputs'!$Q$10))</f>
        <v>0</v>
      </c>
      <c r="AF13" s="194">
        <f>IF(AF2&gt;'CREST Inputs'!$Q$8,0,AE13*(1+'CREST Inputs'!$Q$10))</f>
        <v>0</v>
      </c>
      <c r="AG13" s="194">
        <f>IF(AG2&gt;'CREST Inputs'!$Q$8,0,AF13*(1+'CREST Inputs'!$Q$10))</f>
        <v>0</v>
      </c>
      <c r="AH13" s="194">
        <f>IF(AH2&gt;'CREST Inputs'!$Q$8,0,AG13*(1+'CREST Inputs'!$Q$10))</f>
        <v>0</v>
      </c>
      <c r="AI13" s="194">
        <f>IF(AI2&gt;'CREST Inputs'!$Q$8,0,AH13*(1+'CREST Inputs'!$Q$10))</f>
        <v>0</v>
      </c>
      <c r="AJ13" s="194">
        <f>IF(AJ2&gt;'CREST Inputs'!$Q$8,0,AI13*(1+'CREST Inputs'!$Q$10))</f>
        <v>0</v>
      </c>
    </row>
    <row r="14" spans="2:36" s="27" customFormat="1" ht="15">
      <c r="B14" s="34" t="s">
        <v>212</v>
      </c>
      <c r="C14" s="34"/>
      <c r="D14" s="34"/>
      <c r="E14" s="66" t="s">
        <v>50</v>
      </c>
      <c r="F14" s="81"/>
      <c r="G14" s="77">
        <f>SUM(G12:G13)</f>
        <v>13.749999999999996</v>
      </c>
      <c r="H14" s="77">
        <f aca="true" t="shared" si="0" ref="H14:AJ14">SUM(H12:H13)</f>
        <v>13.749999999999996</v>
      </c>
      <c r="I14" s="77">
        <f t="shared" si="0"/>
        <v>13.749999999999996</v>
      </c>
      <c r="J14" s="77">
        <f t="shared" si="0"/>
        <v>13.749999999999996</v>
      </c>
      <c r="K14" s="77">
        <f t="shared" si="0"/>
        <v>13.749999999999996</v>
      </c>
      <c r="L14" s="77">
        <f t="shared" si="0"/>
        <v>13.749999999999996</v>
      </c>
      <c r="M14" s="77">
        <f t="shared" si="0"/>
        <v>13.749999999999996</v>
      </c>
      <c r="N14" s="77">
        <f t="shared" si="0"/>
        <v>13.749999999999996</v>
      </c>
      <c r="O14" s="77">
        <f t="shared" si="0"/>
        <v>13.749999999999996</v>
      </c>
      <c r="P14" s="77">
        <f t="shared" si="0"/>
        <v>13.749999999999996</v>
      </c>
      <c r="Q14" s="77">
        <f t="shared" si="0"/>
        <v>13.749999999999996</v>
      </c>
      <c r="R14" s="77">
        <f t="shared" si="0"/>
        <v>13.749999999999996</v>
      </c>
      <c r="S14" s="77">
        <f t="shared" si="0"/>
        <v>13.749999999999996</v>
      </c>
      <c r="T14" s="77">
        <f t="shared" si="0"/>
        <v>13.749999999999996</v>
      </c>
      <c r="U14" s="77">
        <f t="shared" si="0"/>
        <v>13.749999999999996</v>
      </c>
      <c r="V14" s="77">
        <f t="shared" si="0"/>
        <v>0</v>
      </c>
      <c r="W14" s="77">
        <f t="shared" si="0"/>
        <v>0</v>
      </c>
      <c r="X14" s="77">
        <f t="shared" si="0"/>
        <v>0</v>
      </c>
      <c r="Y14" s="77">
        <f t="shared" si="0"/>
        <v>0</v>
      </c>
      <c r="Z14" s="77">
        <f t="shared" si="0"/>
        <v>0</v>
      </c>
      <c r="AA14" s="77">
        <f t="shared" si="0"/>
        <v>0</v>
      </c>
      <c r="AB14" s="77">
        <f t="shared" si="0"/>
        <v>0</v>
      </c>
      <c r="AC14" s="77">
        <f t="shared" si="0"/>
        <v>0</v>
      </c>
      <c r="AD14" s="77">
        <f t="shared" si="0"/>
        <v>0</v>
      </c>
      <c r="AE14" s="77">
        <f t="shared" si="0"/>
        <v>0</v>
      </c>
      <c r="AF14" s="77">
        <f t="shared" si="0"/>
        <v>0</v>
      </c>
      <c r="AG14" s="77">
        <f t="shared" si="0"/>
        <v>0</v>
      </c>
      <c r="AH14" s="77">
        <f t="shared" si="0"/>
        <v>0</v>
      </c>
      <c r="AI14" s="77">
        <f t="shared" si="0"/>
        <v>0</v>
      </c>
      <c r="AJ14" s="77">
        <f t="shared" si="0"/>
        <v>0</v>
      </c>
    </row>
    <row r="15" spans="2:36" s="27" customFormat="1" ht="15">
      <c r="B15" s="34" t="s">
        <v>91</v>
      </c>
      <c r="C15" s="34"/>
      <c r="D15" s="34"/>
      <c r="E15" s="64" t="s">
        <v>0</v>
      </c>
      <c r="F15" s="34"/>
      <c r="G15" s="35">
        <f>(G$14*G$5)/100</f>
        <v>497859.9999999998</v>
      </c>
      <c r="H15" s="35">
        <f aca="true" t="shared" si="1" ref="H15:AJ15">(H$14*H$5)/100</f>
        <v>495370.69999999984</v>
      </c>
      <c r="I15" s="35">
        <f t="shared" si="1"/>
        <v>492893.8464999999</v>
      </c>
      <c r="J15" s="35">
        <f t="shared" si="1"/>
        <v>490429.37726749986</v>
      </c>
      <c r="K15" s="35">
        <f t="shared" si="1"/>
        <v>487977.2303811624</v>
      </c>
      <c r="L15" s="35">
        <f t="shared" si="1"/>
        <v>485537.34422925656</v>
      </c>
      <c r="M15" s="35">
        <f t="shared" si="1"/>
        <v>483109.65750811034</v>
      </c>
      <c r="N15" s="35">
        <f t="shared" si="1"/>
        <v>480694.1092205697</v>
      </c>
      <c r="O15" s="35">
        <f t="shared" si="1"/>
        <v>478290.6386744669</v>
      </c>
      <c r="P15" s="35">
        <f t="shared" si="1"/>
        <v>475899.1854810946</v>
      </c>
      <c r="Q15" s="35">
        <f t="shared" si="1"/>
        <v>473519.68955368904</v>
      </c>
      <c r="R15" s="35">
        <f t="shared" si="1"/>
        <v>471152.0911059206</v>
      </c>
      <c r="S15" s="35">
        <f t="shared" si="1"/>
        <v>468796.330650391</v>
      </c>
      <c r="T15" s="35">
        <f t="shared" si="1"/>
        <v>466452.348997139</v>
      </c>
      <c r="U15" s="35">
        <f t="shared" si="1"/>
        <v>464120.0872521534</v>
      </c>
      <c r="V15" s="35">
        <f t="shared" si="1"/>
        <v>0</v>
      </c>
      <c r="W15" s="35">
        <f t="shared" si="1"/>
        <v>0</v>
      </c>
      <c r="X15" s="35">
        <f t="shared" si="1"/>
        <v>0</v>
      </c>
      <c r="Y15" s="35">
        <f t="shared" si="1"/>
        <v>0</v>
      </c>
      <c r="Z15" s="35">
        <f t="shared" si="1"/>
        <v>0</v>
      </c>
      <c r="AA15" s="35">
        <f t="shared" si="1"/>
        <v>0</v>
      </c>
      <c r="AB15" s="35">
        <f t="shared" si="1"/>
        <v>0</v>
      </c>
      <c r="AC15" s="35">
        <f t="shared" si="1"/>
        <v>0</v>
      </c>
      <c r="AD15" s="35">
        <f t="shared" si="1"/>
        <v>0</v>
      </c>
      <c r="AE15" s="35">
        <f t="shared" si="1"/>
        <v>0</v>
      </c>
      <c r="AF15" s="35">
        <f t="shared" si="1"/>
        <v>0</v>
      </c>
      <c r="AG15" s="35">
        <f t="shared" si="1"/>
        <v>0</v>
      </c>
      <c r="AH15" s="35">
        <f t="shared" si="1"/>
        <v>0</v>
      </c>
      <c r="AI15" s="35">
        <f t="shared" si="1"/>
        <v>0</v>
      </c>
      <c r="AJ15" s="35">
        <f t="shared" si="1"/>
        <v>0</v>
      </c>
    </row>
    <row r="16" spans="2:36" s="27" customFormat="1" ht="15">
      <c r="B16" s="34" t="s">
        <v>179</v>
      </c>
      <c r="C16" s="34"/>
      <c r="D16" s="34"/>
      <c r="E16" s="66" t="s">
        <v>50</v>
      </c>
      <c r="F16" s="34"/>
      <c r="G16" s="77">
        <f>IF('CREST Inputs'!$Q$8='CREST Inputs'!$G$15,0,IF('CREST Inputs'!$Q$13="Year One",'CREST Inputs'!$Q$14,0))</f>
        <v>1.7069</v>
      </c>
      <c r="H16" s="77">
        <f>IF(H$2&gt;'CREST Inputs'!$G$15,0,IF('CREST Inputs'!$Q$13="Year One",G$16*(1+'CREST Inputs'!$Q$15),0))</f>
        <v>1.741038</v>
      </c>
      <c r="I16" s="77">
        <f>IF(I$2&gt;'CREST Inputs'!$G$15,0,IF('CREST Inputs'!$Q$13="Year One",H$16*(1+'CREST Inputs'!$Q$15),0))</f>
        <v>1.7758587600000002</v>
      </c>
      <c r="J16" s="77">
        <f>IF(J$2&gt;'CREST Inputs'!$G$15,0,IF('CREST Inputs'!$Q$13="Year One",I$16*(1+'CREST Inputs'!$Q$15),0))</f>
        <v>1.8113759352000003</v>
      </c>
      <c r="K16" s="77">
        <f>IF(K$2&gt;'CREST Inputs'!$G$15,0,IF('CREST Inputs'!$Q$13="Year One",J$16*(1+'CREST Inputs'!$Q$15),0))</f>
        <v>1.8476034539040003</v>
      </c>
      <c r="L16" s="77">
        <f>IF(L$2&gt;'CREST Inputs'!$G$15,0,IF('CREST Inputs'!$Q$13="Year One",K$16*(1+'CREST Inputs'!$Q$15),0))</f>
        <v>1.8845555229820803</v>
      </c>
      <c r="M16" s="77">
        <f>IF(M$2&gt;'CREST Inputs'!$G$15,0,IF('CREST Inputs'!$Q$13="Year One",L$16*(1+'CREST Inputs'!$Q$15),0))</f>
        <v>1.9222466334417219</v>
      </c>
      <c r="N16" s="77">
        <f>IF(N$2&gt;'CREST Inputs'!$G$15,0,IF('CREST Inputs'!$Q$13="Year One",M$16*(1+'CREST Inputs'!$Q$15),0))</f>
        <v>1.9606915661105564</v>
      </c>
      <c r="O16" s="77">
        <f>IF(O$2&gt;'CREST Inputs'!$G$15,0,IF('CREST Inputs'!$Q$13="Year One",N$16*(1+'CREST Inputs'!$Q$15),0))</f>
        <v>1.9999053974327676</v>
      </c>
      <c r="P16" s="77">
        <f>IF(P$2&gt;'CREST Inputs'!$G$15,0,IF('CREST Inputs'!$Q$13="Year One",O$16*(1+'CREST Inputs'!$Q$15),0))</f>
        <v>2.039903505381423</v>
      </c>
      <c r="Q16" s="77">
        <f>IF(Q$2&gt;'CREST Inputs'!$G$15,0,IF('CREST Inputs'!$Q$13="Year One",P$16*(1+'CREST Inputs'!$Q$15),0))</f>
        <v>2.080701575489052</v>
      </c>
      <c r="R16" s="77">
        <f>IF(R$2&gt;'CREST Inputs'!$G$15,0,IF('CREST Inputs'!$Q$13="Year One",Q$16*(1+'CREST Inputs'!$Q$15),0))</f>
        <v>2.122315606998833</v>
      </c>
      <c r="S16" s="77">
        <f>IF(S$2&gt;'CREST Inputs'!$G$15,0,IF('CREST Inputs'!$Q$13="Year One",R$16*(1+'CREST Inputs'!$Q$15),0))</f>
        <v>2.1647619191388094</v>
      </c>
      <c r="T16" s="77">
        <f>IF(T$2&gt;'CREST Inputs'!$G$15,0,IF('CREST Inputs'!$Q$13="Year One",S$16*(1+'CREST Inputs'!$Q$15),0))</f>
        <v>2.2080571575215857</v>
      </c>
      <c r="U16" s="77">
        <f>IF(U$2&gt;'CREST Inputs'!$G$15,0,IF('CREST Inputs'!$Q$13="Year One",T$16*(1+'CREST Inputs'!$Q$15),0))</f>
        <v>2.2522183006720176</v>
      </c>
      <c r="V16" s="77">
        <f>IF(V$2&gt;'CREST Inputs'!$G$15,0,IF('CREST Inputs'!$Q$13="Year One",U$16*(1+'CREST Inputs'!$Q$15),0))</f>
        <v>2.297262666685458</v>
      </c>
      <c r="W16" s="77">
        <f>IF(W$2&gt;'CREST Inputs'!$G$15,0,IF('CREST Inputs'!$Q$13="Year One",V$16*(1+'CREST Inputs'!$Q$15),0))</f>
        <v>2.343207920019167</v>
      </c>
      <c r="X16" s="77">
        <f>IF(X$2&gt;'CREST Inputs'!$G$15,0,IF('CREST Inputs'!$Q$13="Year One",W$16*(1+'CREST Inputs'!$Q$15),0))</f>
        <v>2.3900720784195504</v>
      </c>
      <c r="Y16" s="77">
        <f>IF(Y$2&gt;'CREST Inputs'!$G$15,0,IF('CREST Inputs'!$Q$13="Year One",X$16*(1+'CREST Inputs'!$Q$15),0))</f>
        <v>2.4378735199879413</v>
      </c>
      <c r="Z16" s="77">
        <f>IF(Z$2&gt;'CREST Inputs'!$G$15,0,IF('CREST Inputs'!$Q$13="Year One",Y$16*(1+'CREST Inputs'!$Q$15),0))</f>
        <v>2.4866309903877</v>
      </c>
      <c r="AA16" s="77">
        <f>IF(AA$2&gt;'CREST Inputs'!$G$15,0,IF('CREST Inputs'!$Q$13="Year One",Z$16*(1+'CREST Inputs'!$Q$15),0))</f>
        <v>2.5363636101954543</v>
      </c>
      <c r="AB16" s="77">
        <f>IF(AB$2&gt;'CREST Inputs'!$G$15,0,IF('CREST Inputs'!$Q$13="Year One",AA$16*(1+'CREST Inputs'!$Q$15),0))</f>
        <v>2.5870908823993632</v>
      </c>
      <c r="AC16" s="77">
        <f>IF(AC$2&gt;'CREST Inputs'!$G$15,0,IF('CREST Inputs'!$Q$13="Year One",AB$16*(1+'CREST Inputs'!$Q$15),0))</f>
        <v>2.6388327000473506</v>
      </c>
      <c r="AD16" s="77">
        <f>IF(AD$2&gt;'CREST Inputs'!$G$15,0,IF('CREST Inputs'!$Q$13="Year One",AC$16*(1+'CREST Inputs'!$Q$15),0))</f>
        <v>2.6916093540482975</v>
      </c>
      <c r="AE16" s="77">
        <f>IF(AE$2&gt;'CREST Inputs'!$G$15,0,IF('CREST Inputs'!$Q$13="Year One",AD$16*(1+'CREST Inputs'!$Q$15),0))</f>
        <v>2.7454415411292636</v>
      </c>
      <c r="AF16" s="77">
        <f>IF(AF$2&gt;'CREST Inputs'!$G$15,0,IF('CREST Inputs'!$Q$13="Year One",AE$16*(1+'CREST Inputs'!$Q$15),0))</f>
        <v>0</v>
      </c>
      <c r="AG16" s="77">
        <f>IF(AG$2&gt;'CREST Inputs'!$G$15,0,IF('CREST Inputs'!$Q$13="Year One",AF$16*(1+'CREST Inputs'!$Q$15),0))</f>
        <v>0</v>
      </c>
      <c r="AH16" s="77">
        <f>IF(AH$2&gt;'CREST Inputs'!$G$15,0,IF('CREST Inputs'!$Q$13="Year One",AG$16*(1+'CREST Inputs'!$Q$15),0))</f>
        <v>0</v>
      </c>
      <c r="AI16" s="77">
        <f>IF(AI$2&gt;'CREST Inputs'!$G$15,0,IF('CREST Inputs'!$Q$13="Year One",AH$16*(1+'CREST Inputs'!$Q$15),0))</f>
        <v>0</v>
      </c>
      <c r="AJ16" s="77">
        <f>IF(AJ$2&gt;'CREST Inputs'!$G$15,0,IF('CREST Inputs'!$Q$13="Year One",AI$16*(1+'CREST Inputs'!$Q$15),0))</f>
        <v>0</v>
      </c>
    </row>
    <row r="17" spans="2:36" s="27" customFormat="1" ht="15">
      <c r="B17" s="34" t="s">
        <v>178</v>
      </c>
      <c r="C17" s="34"/>
      <c r="D17" s="34"/>
      <c r="E17" s="64" t="s">
        <v>0</v>
      </c>
      <c r="F17" s="34"/>
      <c r="G17" s="35">
        <f>IF(G$2&lt;='CREST Inputs'!$Q$8,0,IF(G$2&gt;'CREST Inputs'!$G$15,0,(G$16*G$5)/100))</f>
        <v>0</v>
      </c>
      <c r="H17" s="35">
        <f>IF(H$2&lt;='CREST Inputs'!$Q$8,0,IF(H$2&gt;'CREST Inputs'!$G$15,0,(H$16*H$5)/100))</f>
        <v>0</v>
      </c>
      <c r="I17" s="35">
        <f>IF(I$2&lt;='CREST Inputs'!$Q$8,0,IF(I$2&gt;'CREST Inputs'!$G$15,0,(I$16*I$5)/100))</f>
        <v>0</v>
      </c>
      <c r="J17" s="35">
        <f>IF(J$2&lt;='CREST Inputs'!$Q$8,0,IF(J$2&gt;'CREST Inputs'!$G$15,0,(J$16*J$5)/100))</f>
        <v>0</v>
      </c>
      <c r="K17" s="35">
        <f>IF(K$2&lt;='CREST Inputs'!$Q$8,0,IF(K$2&gt;'CREST Inputs'!$G$15,0,(K$16*K$5)/100))</f>
        <v>0</v>
      </c>
      <c r="L17" s="35">
        <f>IF(L$2&lt;='CREST Inputs'!$Q$8,0,IF(L$2&gt;'CREST Inputs'!$G$15,0,(L$16*L$5)/100))</f>
        <v>0</v>
      </c>
      <c r="M17" s="35">
        <f>IF(M$2&lt;='CREST Inputs'!$Q$8,0,IF(M$2&gt;'CREST Inputs'!$G$15,0,(M$16*M$5)/100))</f>
        <v>0</v>
      </c>
      <c r="N17" s="35">
        <f>IF(N$2&lt;='CREST Inputs'!$Q$8,0,IF(N$2&gt;'CREST Inputs'!$G$15,0,(N$16*N$5)/100))</f>
        <v>0</v>
      </c>
      <c r="O17" s="35">
        <f>IF(O$2&lt;='CREST Inputs'!$Q$8,0,IF(O$2&gt;'CREST Inputs'!$G$15,0,(O$16*O$5)/100))</f>
        <v>0</v>
      </c>
      <c r="P17" s="35">
        <f>IF(P$2&lt;='CREST Inputs'!$Q$8,0,IF(P$2&gt;'CREST Inputs'!$G$15,0,(P$16*P$5)/100))</f>
        <v>0</v>
      </c>
      <c r="Q17" s="35">
        <f>IF(Q$2&lt;='CREST Inputs'!$Q$8,0,IF(Q$2&gt;'CREST Inputs'!$G$15,0,(Q$16*Q$5)/100))</f>
        <v>0</v>
      </c>
      <c r="R17" s="35">
        <f>IF(R$2&lt;='CREST Inputs'!$Q$8,0,IF(R$2&gt;'CREST Inputs'!$G$15,0,(R$16*R$5)/100))</f>
        <v>0</v>
      </c>
      <c r="S17" s="35">
        <f>IF(S$2&lt;='CREST Inputs'!$Q$8,0,IF(S$2&gt;'CREST Inputs'!$G$15,0,(S$16*S$5)/100))</f>
        <v>0</v>
      </c>
      <c r="T17" s="35">
        <f>IF(T$2&lt;='CREST Inputs'!$Q$8,0,IF(T$2&gt;'CREST Inputs'!$G$15,0,(T$16*T$5)/100))</f>
        <v>0</v>
      </c>
      <c r="U17" s="35">
        <f>IF(U$2&lt;='CREST Inputs'!$Q$8,0,IF(U$2&gt;'CREST Inputs'!$G$15,0,(U$16*U$5)/100))</f>
        <v>0</v>
      </c>
      <c r="V17" s="35">
        <f>IF(V$2&lt;='CREST Inputs'!$Q$8,0,IF(V$2&gt;'CREST Inputs'!$G$15,0,(V$16*V$5)/100))</f>
        <v>77154.52513139299</v>
      </c>
      <c r="W17" s="35">
        <f>IF(W$2&lt;='CREST Inputs'!$Q$8,0,IF(W$2&gt;'CREST Inputs'!$G$15,0,(W$16*W$5)/100))</f>
        <v>78304.12755585075</v>
      </c>
      <c r="X17" s="35">
        <f>IF(X$2&lt;='CREST Inputs'!$Q$8,0,IF(X$2&gt;'CREST Inputs'!$G$15,0,(X$16*X$5)/100))</f>
        <v>79470.85905643292</v>
      </c>
      <c r="Y17" s="35">
        <f>IF(Y$2&lt;='CREST Inputs'!$Q$8,0,IF(Y$2&gt;'CREST Inputs'!$G$15,0,(Y$16*Y$5)/100))</f>
        <v>80654.97485637377</v>
      </c>
      <c r="Z17" s="35">
        <f>IF(Z$2&lt;='CREST Inputs'!$Q$8,0,IF(Z$2&gt;'CREST Inputs'!$G$15,0,(Z$16*Z$5)/100))</f>
        <v>81856.73398173373</v>
      </c>
      <c r="AA17" s="35">
        <f>IF(AA$2&lt;='CREST Inputs'!$Q$8,0,IF(AA$2&gt;'CREST Inputs'!$G$15,0,(AA$16*AA$5)/100))</f>
        <v>83076.39931806158</v>
      </c>
      <c r="AB17" s="35">
        <f>IF(AB$2&lt;='CREST Inputs'!$Q$8,0,IF(AB$2&gt;'CREST Inputs'!$G$15,0,(AB$16*AB$5)/100))</f>
        <v>84314.2376679007</v>
      </c>
      <c r="AC17" s="35">
        <f>IF(AC$2&lt;='CREST Inputs'!$Q$8,0,IF(AC$2&gt;'CREST Inputs'!$G$15,0,(AC$16*AC$5)/100))</f>
        <v>85570.5198091524</v>
      </c>
      <c r="AD17" s="35">
        <f>IF(AD$2&lt;='CREST Inputs'!$Q$8,0,IF(AD$2&gt;'CREST Inputs'!$G$15,0,(AD$16*AD$5)/100))</f>
        <v>86845.52055430878</v>
      </c>
      <c r="AE17" s="35">
        <f>IF(AE$2&lt;='CREST Inputs'!$Q$8,0,IF(AE$2&gt;'CREST Inputs'!$G$15,0,(AE$16*AE$5)/100))</f>
        <v>88139.51881056798</v>
      </c>
      <c r="AF17" s="35">
        <f>IF(AF$2&lt;='CREST Inputs'!$Q$8,0,IF(AF$2&gt;'CREST Inputs'!$G$15,0,(AF$16*AF$5)/100))</f>
        <v>0</v>
      </c>
      <c r="AG17" s="35">
        <f>IF(AG$2&lt;='CREST Inputs'!$Q$8,0,IF(AG$2&gt;'CREST Inputs'!$G$15,0,(AG$16*AG$5)/100))</f>
        <v>0</v>
      </c>
      <c r="AH17" s="35">
        <f>IF(AH$2&lt;='CREST Inputs'!$Q$8,0,IF(AH$2&gt;'CREST Inputs'!$G$15,0,(AH$16*AH$5)/100))</f>
        <v>0</v>
      </c>
      <c r="AI17" s="35">
        <f>IF(AI$2&lt;='CREST Inputs'!$Q$8,0,IF(AI$2&gt;'CREST Inputs'!$G$15,0,(AI$16*AI$5)/100))</f>
        <v>0</v>
      </c>
      <c r="AJ17" s="35">
        <f>IF(AJ$2&lt;='CREST Inputs'!$Q$8,0,IF(AJ$2&gt;'CREST Inputs'!$G$15,0,(AJ$16*AJ$5)/100))</f>
        <v>0</v>
      </c>
    </row>
    <row r="18" spans="2:36" s="27" customFormat="1" ht="15">
      <c r="B18" s="34" t="s">
        <v>92</v>
      </c>
      <c r="C18" s="34"/>
      <c r="D18" s="34"/>
      <c r="E18" s="66" t="s">
        <v>50</v>
      </c>
      <c r="F18" s="34"/>
      <c r="G18" s="77">
        <f>IF(OR('CREST Inputs'!$Q$19="Cost-Based",'CREST Inputs'!$Q$19="Neither"),0,IF(AND('CREST Inputs'!$Q$24="Cash",G$2&lt;='CREST Inputs'!$Q$27),'CREST Inputs'!$Q$25*G$9,0))</f>
        <v>0</v>
      </c>
      <c r="H18" s="77">
        <f>IF(OR('CREST Inputs'!$Q$19="Cost-Based",'CREST Inputs'!$Q$19="Neither"),0,IF(AND('CREST Inputs'!$Q$24="Cash",H$2&lt;='CREST Inputs'!$Q$27),'CREST Inputs'!$Q$25*H$9,0))</f>
        <v>0</v>
      </c>
      <c r="I18" s="77">
        <f>IF(OR('CREST Inputs'!$Q$19="Cost-Based",'CREST Inputs'!$Q$19="Neither"),0,IF(AND('CREST Inputs'!$Q$24="Cash",I$2&lt;='CREST Inputs'!$Q$27),'CREST Inputs'!$Q$25*I$9,0))</f>
        <v>0</v>
      </c>
      <c r="J18" s="77">
        <f>IF(OR('CREST Inputs'!$Q$19="Cost-Based",'CREST Inputs'!$Q$19="Neither"),0,IF(AND('CREST Inputs'!$Q$24="Cash",J$2&lt;='CREST Inputs'!$Q$27),'CREST Inputs'!$Q$25*J$9,0))</f>
        <v>0</v>
      </c>
      <c r="K18" s="77">
        <f>IF(OR('CREST Inputs'!$Q$19="Cost-Based",'CREST Inputs'!$Q$19="Neither"),0,IF(AND('CREST Inputs'!$Q$24="Cash",K$2&lt;='CREST Inputs'!$Q$27),'CREST Inputs'!$Q$25*K$9,0))</f>
        <v>0</v>
      </c>
      <c r="L18" s="77">
        <f>IF(OR('CREST Inputs'!$Q$19="Cost-Based",'CREST Inputs'!$Q$19="Neither"),0,IF(AND('CREST Inputs'!$Q$24="Cash",L$2&lt;='CREST Inputs'!$Q$27),'CREST Inputs'!$Q$25*L$9,0))</f>
        <v>0</v>
      </c>
      <c r="M18" s="77">
        <f>IF(OR('CREST Inputs'!$Q$19="Cost-Based",'CREST Inputs'!$Q$19="Neither"),0,IF(AND('CREST Inputs'!$Q$24="Cash",M$2&lt;='CREST Inputs'!$Q$27),'CREST Inputs'!$Q$25*M$9,0))</f>
        <v>0</v>
      </c>
      <c r="N18" s="77">
        <f>IF(OR('CREST Inputs'!$Q$19="Cost-Based",'CREST Inputs'!$Q$19="Neither"),0,IF(AND('CREST Inputs'!$Q$24="Cash",N$2&lt;='CREST Inputs'!$Q$27),'CREST Inputs'!$Q$25*N$9,0))</f>
        <v>0</v>
      </c>
      <c r="O18" s="77">
        <f>IF(OR('CREST Inputs'!$Q$19="Cost-Based",'CREST Inputs'!$Q$19="Neither"),0,IF(AND('CREST Inputs'!$Q$24="Cash",O$2&lt;='CREST Inputs'!$Q$27),'CREST Inputs'!$Q$25*O$9,0))</f>
        <v>0</v>
      </c>
      <c r="P18" s="77">
        <f>IF(OR('CREST Inputs'!$Q$19="Cost-Based",'CREST Inputs'!$Q$19="Neither"),0,IF(AND('CREST Inputs'!$Q$24="Cash",P$2&lt;='CREST Inputs'!$Q$27),'CREST Inputs'!$Q$25*P$9,0))</f>
        <v>0</v>
      </c>
      <c r="Q18" s="77">
        <f>IF(OR('CREST Inputs'!$Q$19="Cost-Based",'CREST Inputs'!$Q$19="Neither"),0,IF(AND('CREST Inputs'!$Q$24="Cash",Q$2&lt;='CREST Inputs'!$Q$27),'CREST Inputs'!$Q$25*Q$9,0))</f>
        <v>0</v>
      </c>
      <c r="R18" s="77">
        <f>IF(OR('CREST Inputs'!$Q$19="Cost-Based",'CREST Inputs'!$Q$19="Neither"),0,IF(AND('CREST Inputs'!$Q$24="Cash",R$2&lt;='CREST Inputs'!$Q$27),'CREST Inputs'!$Q$25*R$9,0))</f>
        <v>0</v>
      </c>
      <c r="S18" s="77">
        <f>IF(OR('CREST Inputs'!$Q$19="Cost-Based",'CREST Inputs'!$Q$19="Neither"),0,IF(AND('CREST Inputs'!$Q$24="Cash",S$2&lt;='CREST Inputs'!$Q$27),'CREST Inputs'!$Q$25*S$9,0))</f>
        <v>0</v>
      </c>
      <c r="T18" s="77">
        <f>IF(OR('CREST Inputs'!$Q$19="Cost-Based",'CREST Inputs'!$Q$19="Neither"),0,IF(AND('CREST Inputs'!$Q$24="Cash",T$2&lt;='CREST Inputs'!$Q$27),'CREST Inputs'!$Q$25*T$9,0))</f>
        <v>0</v>
      </c>
      <c r="U18" s="77">
        <f>IF(OR('CREST Inputs'!$Q$19="Cost-Based",'CREST Inputs'!$Q$19="Neither"),0,IF(AND('CREST Inputs'!$Q$24="Cash",U$2&lt;='CREST Inputs'!$Q$27),'CREST Inputs'!$Q$25*U$9,0))</f>
        <v>0</v>
      </c>
      <c r="V18" s="77">
        <f>IF(OR('CREST Inputs'!$Q$19="Cost-Based",'CREST Inputs'!$Q$19="Neither"),0,IF(AND('CREST Inputs'!$Q$24="Cash",V$2&lt;='CREST Inputs'!$Q$27),'CREST Inputs'!$Q$25*V$9,0))</f>
        <v>0</v>
      </c>
      <c r="W18" s="77">
        <f>IF(OR('CREST Inputs'!$Q$19="Cost-Based",'CREST Inputs'!$Q$19="Neither"),0,IF(AND('CREST Inputs'!$Q$24="Cash",W$2&lt;='CREST Inputs'!$Q$27),'CREST Inputs'!$Q$25*W$9,0))</f>
        <v>0</v>
      </c>
      <c r="X18" s="77">
        <f>IF(OR('CREST Inputs'!$Q$19="Cost-Based",'CREST Inputs'!$Q$19="Neither"),0,IF(AND('CREST Inputs'!$Q$24="Cash",X$2&lt;='CREST Inputs'!$Q$27),'CREST Inputs'!$Q$25*X$9,0))</f>
        <v>0</v>
      </c>
      <c r="Y18" s="77">
        <f>IF(OR('CREST Inputs'!$Q$19="Cost-Based",'CREST Inputs'!$Q$19="Neither"),0,IF(AND('CREST Inputs'!$Q$24="Cash",Y$2&lt;='CREST Inputs'!$Q$27),'CREST Inputs'!$Q$25*Y$9,0))</f>
        <v>0</v>
      </c>
      <c r="Z18" s="77">
        <f>IF(OR('CREST Inputs'!$Q$19="Cost-Based",'CREST Inputs'!$Q$19="Neither"),0,IF(AND('CREST Inputs'!$Q$24="Cash",Z$2&lt;='CREST Inputs'!$Q$27),'CREST Inputs'!$Q$25*Z$9,0))</f>
        <v>0</v>
      </c>
      <c r="AA18" s="77">
        <f>IF(OR('CREST Inputs'!$Q$19="Cost-Based",'CREST Inputs'!$Q$19="Neither"),0,IF(AND('CREST Inputs'!$Q$24="Cash",AA$2&lt;='CREST Inputs'!$Q$27),'CREST Inputs'!$Q$25*AA$9,0))</f>
        <v>0</v>
      </c>
      <c r="AB18" s="77">
        <f>IF(OR('CREST Inputs'!$Q$19="Cost-Based",'CREST Inputs'!$Q$19="Neither"),0,IF(AND('CREST Inputs'!$Q$24="Cash",AB$2&lt;='CREST Inputs'!$Q$27),'CREST Inputs'!$Q$25*AB$9,0))</f>
        <v>0</v>
      </c>
      <c r="AC18" s="77">
        <f>IF(OR('CREST Inputs'!$Q$19="Cost-Based",'CREST Inputs'!$Q$19="Neither"),0,IF(AND('CREST Inputs'!$Q$24="Cash",AC$2&lt;='CREST Inputs'!$Q$27),'CREST Inputs'!$Q$25*AC$9,0))</f>
        <v>0</v>
      </c>
      <c r="AD18" s="77">
        <f>IF(OR('CREST Inputs'!$Q$19="Cost-Based",'CREST Inputs'!$Q$19="Neither"),0,IF(AND('CREST Inputs'!$Q$24="Cash",AD$2&lt;='CREST Inputs'!$Q$27),'CREST Inputs'!$Q$25*AD$9,0))</f>
        <v>0</v>
      </c>
      <c r="AE18" s="77">
        <f>IF(OR('CREST Inputs'!$Q$19="Cost-Based",'CREST Inputs'!$Q$19="Neither"),0,IF(AND('CREST Inputs'!$Q$24="Cash",AE$2&lt;='CREST Inputs'!$Q$27),'CREST Inputs'!$Q$25*AE$9,0))</f>
        <v>0</v>
      </c>
      <c r="AF18" s="77">
        <f>IF(OR('CREST Inputs'!$Q$19="Cost-Based",'CREST Inputs'!$Q$19="Neither"),0,IF(AND('CREST Inputs'!$Q$24="Cash",AF$2&lt;='CREST Inputs'!$Q$27),'CREST Inputs'!$Q$25*AF$9,0))</f>
        <v>0</v>
      </c>
      <c r="AG18" s="77">
        <f>IF(OR('CREST Inputs'!$Q$19="Cost-Based",'CREST Inputs'!$Q$19="Neither"),0,IF(AND('CREST Inputs'!$Q$24="Cash",AG$2&lt;='CREST Inputs'!$Q$27),'CREST Inputs'!$Q$25*AG$9,0))</f>
        <v>0</v>
      </c>
      <c r="AH18" s="77">
        <f>IF(OR('CREST Inputs'!$Q$19="Cost-Based",'CREST Inputs'!$Q$19="Neither"),0,IF(AND('CREST Inputs'!$Q$24="Cash",AH$2&lt;='CREST Inputs'!$Q$27),'CREST Inputs'!$Q$25*AH$9,0))</f>
        <v>0</v>
      </c>
      <c r="AI18" s="77">
        <f>IF(OR('CREST Inputs'!$Q$19="Cost-Based",'CREST Inputs'!$Q$19="Neither"),0,IF(AND('CREST Inputs'!$Q$24="Cash",AI$2&lt;='CREST Inputs'!$Q$27),'CREST Inputs'!$Q$25*AI$9,0))</f>
        <v>0</v>
      </c>
      <c r="AJ18" s="77">
        <f>IF(OR('CREST Inputs'!$Q$19="Cost-Based",'CREST Inputs'!$Q$19="Neither"),0,IF(AND('CREST Inputs'!$Q$24="Cash",AJ$2&lt;='CREST Inputs'!$Q$27),'CREST Inputs'!$Q$25*AJ$9,0))</f>
        <v>0</v>
      </c>
    </row>
    <row r="19" spans="2:36" s="27" customFormat="1" ht="15">
      <c r="B19" s="34" t="s">
        <v>93</v>
      </c>
      <c r="C19" s="34"/>
      <c r="D19" s="34"/>
      <c r="E19" s="64" t="s">
        <v>0</v>
      </c>
      <c r="F19" s="34"/>
      <c r="G19" s="35">
        <f>(G$18*G$5)/100</f>
        <v>0</v>
      </c>
      <c r="H19" s="35">
        <f aca="true" t="shared" si="2" ref="H19:AJ19">(H$18*H$5)/100</f>
        <v>0</v>
      </c>
      <c r="I19" s="35">
        <f t="shared" si="2"/>
        <v>0</v>
      </c>
      <c r="J19" s="35">
        <f t="shared" si="2"/>
        <v>0</v>
      </c>
      <c r="K19" s="35">
        <f t="shared" si="2"/>
        <v>0</v>
      </c>
      <c r="L19" s="35">
        <f t="shared" si="2"/>
        <v>0</v>
      </c>
      <c r="M19" s="35">
        <f t="shared" si="2"/>
        <v>0</v>
      </c>
      <c r="N19" s="35">
        <f t="shared" si="2"/>
        <v>0</v>
      </c>
      <c r="O19" s="35">
        <f t="shared" si="2"/>
        <v>0</v>
      </c>
      <c r="P19" s="35">
        <f t="shared" si="2"/>
        <v>0</v>
      </c>
      <c r="Q19" s="35">
        <f t="shared" si="2"/>
        <v>0</v>
      </c>
      <c r="R19" s="35">
        <f t="shared" si="2"/>
        <v>0</v>
      </c>
      <c r="S19" s="35">
        <f t="shared" si="2"/>
        <v>0</v>
      </c>
      <c r="T19" s="35">
        <f t="shared" si="2"/>
        <v>0</v>
      </c>
      <c r="U19" s="35">
        <f t="shared" si="2"/>
        <v>0</v>
      </c>
      <c r="V19" s="35">
        <f t="shared" si="2"/>
        <v>0</v>
      </c>
      <c r="W19" s="35">
        <f t="shared" si="2"/>
        <v>0</v>
      </c>
      <c r="X19" s="35">
        <f t="shared" si="2"/>
        <v>0</v>
      </c>
      <c r="Y19" s="35">
        <f t="shared" si="2"/>
        <v>0</v>
      </c>
      <c r="Z19" s="35">
        <f t="shared" si="2"/>
        <v>0</v>
      </c>
      <c r="AA19" s="35">
        <f t="shared" si="2"/>
        <v>0</v>
      </c>
      <c r="AB19" s="35">
        <f t="shared" si="2"/>
        <v>0</v>
      </c>
      <c r="AC19" s="35">
        <f t="shared" si="2"/>
        <v>0</v>
      </c>
      <c r="AD19" s="35">
        <f t="shared" si="2"/>
        <v>0</v>
      </c>
      <c r="AE19" s="35">
        <f t="shared" si="2"/>
        <v>0</v>
      </c>
      <c r="AF19" s="35">
        <f t="shared" si="2"/>
        <v>0</v>
      </c>
      <c r="AG19" s="35">
        <f t="shared" si="2"/>
        <v>0</v>
      </c>
      <c r="AH19" s="35">
        <f t="shared" si="2"/>
        <v>0</v>
      </c>
      <c r="AI19" s="35">
        <f t="shared" si="2"/>
        <v>0</v>
      </c>
      <c r="AJ19" s="35">
        <f t="shared" si="2"/>
        <v>0</v>
      </c>
    </row>
    <row r="20" spans="2:36" s="36" customFormat="1" ht="15">
      <c r="B20" s="34" t="s">
        <v>94</v>
      </c>
      <c r="C20" s="34"/>
      <c r="D20" s="34"/>
      <c r="E20" s="66" t="s">
        <v>50</v>
      </c>
      <c r="F20" s="34"/>
      <c r="G20" s="77">
        <f>IF(OR('CREST Inputs'!$Q$33="Cost-Based",'CREST Inputs'!$Q$33="Neither"),0,IF(AND('CREST Inputs'!$Q$38="Cash",G$2&lt;='CREST Inputs'!$Q$43),'CREST Inputs'!$Q$41*G$10*'CREST Inputs'!$Q$42,0))</f>
        <v>0</v>
      </c>
      <c r="H20" s="77">
        <f>IF(OR('CREST Inputs'!$Q$33="Cost-Based",'CREST Inputs'!$Q$33="Neither"),0,IF(AND('CREST Inputs'!$Q$38="Cash",H$2&lt;='CREST Inputs'!$Q$43),'CREST Inputs'!$Q$41*H$10*'CREST Inputs'!$Q$42,0))</f>
        <v>0</v>
      </c>
      <c r="I20" s="77">
        <f>IF(OR('CREST Inputs'!$Q$33="Cost-Based",'CREST Inputs'!$Q$33="Neither"),0,IF(AND('CREST Inputs'!$Q$38="Cash",I$2&lt;='CREST Inputs'!$Q$43),'CREST Inputs'!$Q$41*I$10*'CREST Inputs'!$Q$42,0))</f>
        <v>0</v>
      </c>
      <c r="J20" s="77">
        <f>IF(OR('CREST Inputs'!$Q$33="Cost-Based",'CREST Inputs'!$Q$33="Neither"),0,IF(AND('CREST Inputs'!$Q$38="Cash",J$2&lt;='CREST Inputs'!$Q$43),'CREST Inputs'!$Q$41*J$10*'CREST Inputs'!$Q$42,0))</f>
        <v>0</v>
      </c>
      <c r="K20" s="77">
        <f>IF(OR('CREST Inputs'!$Q$33="Cost-Based",'CREST Inputs'!$Q$33="Neither"),0,IF(AND('CREST Inputs'!$Q$38="Cash",K$2&lt;='CREST Inputs'!$Q$43),'CREST Inputs'!$Q$41*K$10*'CREST Inputs'!$Q$42,0))</f>
        <v>0</v>
      </c>
      <c r="L20" s="77">
        <f>IF(OR('CREST Inputs'!$Q$33="Cost-Based",'CREST Inputs'!$Q$33="Neither"),0,IF(AND('CREST Inputs'!$Q$38="Cash",L$2&lt;='CREST Inputs'!$Q$43),'CREST Inputs'!$Q$41*L$10*'CREST Inputs'!$Q$42,0))</f>
        <v>0</v>
      </c>
      <c r="M20" s="77">
        <f>IF(OR('CREST Inputs'!$Q$33="Cost-Based",'CREST Inputs'!$Q$33="Neither"),0,IF(AND('CREST Inputs'!$Q$38="Cash",M$2&lt;='CREST Inputs'!$Q$43),'CREST Inputs'!$Q$41*M$10*'CREST Inputs'!$Q$42,0))</f>
        <v>0</v>
      </c>
      <c r="N20" s="77">
        <f>IF(OR('CREST Inputs'!$Q$33="Cost-Based",'CREST Inputs'!$Q$33="Neither"),0,IF(AND('CREST Inputs'!$Q$38="Cash",N$2&lt;='CREST Inputs'!$Q$43),'CREST Inputs'!$Q$41*N$10*'CREST Inputs'!$Q$42,0))</f>
        <v>0</v>
      </c>
      <c r="O20" s="77">
        <f>IF(OR('CREST Inputs'!$Q$33="Cost-Based",'CREST Inputs'!$Q$33="Neither"),0,IF(AND('CREST Inputs'!$Q$38="Cash",O$2&lt;='CREST Inputs'!$Q$43),'CREST Inputs'!$Q$41*O$10*'CREST Inputs'!$Q$42,0))</f>
        <v>0</v>
      </c>
      <c r="P20" s="77">
        <f>IF(OR('CREST Inputs'!$Q$33="Cost-Based",'CREST Inputs'!$Q$33="Neither"),0,IF(AND('CREST Inputs'!$Q$38="Cash",P$2&lt;='CREST Inputs'!$Q$43),'CREST Inputs'!$Q$41*P$10*'CREST Inputs'!$Q$42,0))</f>
        <v>0</v>
      </c>
      <c r="Q20" s="77">
        <f>IF(OR('CREST Inputs'!$Q$33="Cost-Based",'CREST Inputs'!$Q$33="Neither"),0,IF(AND('CREST Inputs'!$Q$38="Cash",Q$2&lt;='CREST Inputs'!$Q$43),'CREST Inputs'!$Q$41*Q$10*'CREST Inputs'!$Q$42,0))</f>
        <v>0</v>
      </c>
      <c r="R20" s="77">
        <f>IF(OR('CREST Inputs'!$Q$33="Cost-Based",'CREST Inputs'!$Q$33="Neither"),0,IF(AND('CREST Inputs'!$Q$38="Cash",R$2&lt;='CREST Inputs'!$Q$43),'CREST Inputs'!$Q$41*R$10*'CREST Inputs'!$Q$42,0))</f>
        <v>0</v>
      </c>
      <c r="S20" s="77">
        <f>IF(OR('CREST Inputs'!$Q$33="Cost-Based",'CREST Inputs'!$Q$33="Neither"),0,IF(AND('CREST Inputs'!$Q$38="Cash",S$2&lt;='CREST Inputs'!$Q$43),'CREST Inputs'!$Q$41*S$10*'CREST Inputs'!$Q$42,0))</f>
        <v>0</v>
      </c>
      <c r="T20" s="77">
        <f>IF(OR('CREST Inputs'!$Q$33="Cost-Based",'CREST Inputs'!$Q$33="Neither"),0,IF(AND('CREST Inputs'!$Q$38="Cash",T$2&lt;='CREST Inputs'!$Q$43),'CREST Inputs'!$Q$41*T$10*'CREST Inputs'!$Q$42,0))</f>
        <v>0</v>
      </c>
      <c r="U20" s="77">
        <f>IF(OR('CREST Inputs'!$Q$33="Cost-Based",'CREST Inputs'!$Q$33="Neither"),0,IF(AND('CREST Inputs'!$Q$38="Cash",U$2&lt;='CREST Inputs'!$Q$43),'CREST Inputs'!$Q$41*U$10*'CREST Inputs'!$Q$42,0))</f>
        <v>0</v>
      </c>
      <c r="V20" s="77">
        <f>IF(OR('CREST Inputs'!$Q$33="Cost-Based",'CREST Inputs'!$Q$33="Neither"),0,IF(AND('CREST Inputs'!$Q$38="Cash",V$2&lt;='CREST Inputs'!$Q$43),'CREST Inputs'!$Q$41*V$10*'CREST Inputs'!$Q$42,0))</f>
        <v>0</v>
      </c>
      <c r="W20" s="77">
        <f>IF(OR('CREST Inputs'!$Q$33="Cost-Based",'CREST Inputs'!$Q$33="Neither"),0,IF(AND('CREST Inputs'!$Q$38="Cash",W$2&lt;='CREST Inputs'!$Q$43),'CREST Inputs'!$Q$41*W$10*'CREST Inputs'!$Q$42,0))</f>
        <v>0</v>
      </c>
      <c r="X20" s="77">
        <f>IF(OR('CREST Inputs'!$Q$33="Cost-Based",'CREST Inputs'!$Q$33="Neither"),0,IF(AND('CREST Inputs'!$Q$38="Cash",X$2&lt;='CREST Inputs'!$Q$43),'CREST Inputs'!$Q$41*X$10*'CREST Inputs'!$Q$42,0))</f>
        <v>0</v>
      </c>
      <c r="Y20" s="77">
        <f>IF(OR('CREST Inputs'!$Q$33="Cost-Based",'CREST Inputs'!$Q$33="Neither"),0,IF(AND('CREST Inputs'!$Q$38="Cash",Y$2&lt;='CREST Inputs'!$Q$43),'CREST Inputs'!$Q$41*Y$10*'CREST Inputs'!$Q$42,0))</f>
        <v>0</v>
      </c>
      <c r="Z20" s="77">
        <f>IF(OR('CREST Inputs'!$Q$33="Cost-Based",'CREST Inputs'!$Q$33="Neither"),0,IF(AND('CREST Inputs'!$Q$38="Cash",Z$2&lt;='CREST Inputs'!$Q$43),'CREST Inputs'!$Q$41*Z$10*'CREST Inputs'!$Q$42,0))</f>
        <v>0</v>
      </c>
      <c r="AA20" s="77">
        <f>IF(OR('CREST Inputs'!$Q$33="Cost-Based",'CREST Inputs'!$Q$33="Neither"),0,IF(AND('CREST Inputs'!$Q$38="Cash",AA$2&lt;='CREST Inputs'!$Q$43),'CREST Inputs'!$Q$41*AA$10*'CREST Inputs'!$Q$42,0))</f>
        <v>0</v>
      </c>
      <c r="AB20" s="77">
        <f>IF(OR('CREST Inputs'!$Q$33="Cost-Based",'CREST Inputs'!$Q$33="Neither"),0,IF(AND('CREST Inputs'!$Q$38="Cash",AB$2&lt;='CREST Inputs'!$Q$43),'CREST Inputs'!$Q$41*AB$10*'CREST Inputs'!$Q$42,0))</f>
        <v>0</v>
      </c>
      <c r="AC20" s="77">
        <f>IF(OR('CREST Inputs'!$Q$33="Cost-Based",'CREST Inputs'!$Q$33="Neither"),0,IF(AND('CREST Inputs'!$Q$38="Cash",AC$2&lt;='CREST Inputs'!$Q$43),'CREST Inputs'!$Q$41*AC$10*'CREST Inputs'!$Q$42,0))</f>
        <v>0</v>
      </c>
      <c r="AD20" s="77">
        <f>IF(OR('CREST Inputs'!$Q$33="Cost-Based",'CREST Inputs'!$Q$33="Neither"),0,IF(AND('CREST Inputs'!$Q$38="Cash",AD$2&lt;='CREST Inputs'!$Q$43),'CREST Inputs'!$Q$41*AD$10*'CREST Inputs'!$Q$42,0))</f>
        <v>0</v>
      </c>
      <c r="AE20" s="77">
        <f>IF(OR('CREST Inputs'!$Q$33="Cost-Based",'CREST Inputs'!$Q$33="Neither"),0,IF(AND('CREST Inputs'!$Q$38="Cash",AE$2&lt;='CREST Inputs'!$Q$43),'CREST Inputs'!$Q$41*AE$10*'CREST Inputs'!$Q$42,0))</f>
        <v>0</v>
      </c>
      <c r="AF20" s="77">
        <f>IF(OR('CREST Inputs'!$Q$33="Cost-Based",'CREST Inputs'!$Q$33="Neither"),0,IF(AND('CREST Inputs'!$Q$38="Cash",AF$2&lt;='CREST Inputs'!$Q$43),'CREST Inputs'!$Q$41*AF$10*'CREST Inputs'!$Q$42,0))</f>
        <v>0</v>
      </c>
      <c r="AG20" s="77">
        <f>IF(OR('CREST Inputs'!$Q$33="Cost-Based",'CREST Inputs'!$Q$33="Neither"),0,IF(AND('CREST Inputs'!$Q$38="Cash",AG$2&lt;='CREST Inputs'!$Q$43),'CREST Inputs'!$Q$41*AG$10*'CREST Inputs'!$Q$42,0))</f>
        <v>0</v>
      </c>
      <c r="AH20" s="77">
        <f>IF(OR('CREST Inputs'!$Q$33="Cost-Based",'CREST Inputs'!$Q$33="Neither"),0,IF(AND('CREST Inputs'!$Q$38="Cash",AH$2&lt;='CREST Inputs'!$Q$43),'CREST Inputs'!$Q$41*AH$10*'CREST Inputs'!$Q$42,0))</f>
        <v>0</v>
      </c>
      <c r="AI20" s="77">
        <f>IF(OR('CREST Inputs'!$Q$33="Cost-Based",'CREST Inputs'!$Q$33="Neither"),0,IF(AND('CREST Inputs'!$Q$38="Cash",AI$2&lt;='CREST Inputs'!$Q$43),'CREST Inputs'!$Q$41*AI$10*'CREST Inputs'!$Q$42,0))</f>
        <v>0</v>
      </c>
      <c r="AJ20" s="77">
        <f>IF(OR('CREST Inputs'!$Q$33="Cost-Based",'CREST Inputs'!$Q$33="Neither"),0,IF(AND('CREST Inputs'!$Q$38="Cash",AJ$2&lt;='CREST Inputs'!$Q$43),'CREST Inputs'!$Q$41*AJ$10*'CREST Inputs'!$Q$42,0))</f>
        <v>0</v>
      </c>
    </row>
    <row r="21" spans="2:36" s="36" customFormat="1" ht="15">
      <c r="B21" s="34" t="s">
        <v>95</v>
      </c>
      <c r="C21" s="34"/>
      <c r="D21" s="34"/>
      <c r="E21" s="64" t="s">
        <v>0</v>
      </c>
      <c r="F21" s="34"/>
      <c r="G21" s="35">
        <f>IF('CREST Inputs'!$Q$39=0,(G$20*G$5)/100,MIN('CREST Inputs'!$Q$39,(G$20*G$5)/100))</f>
        <v>0</v>
      </c>
      <c r="H21" s="35">
        <f>IF('CREST Inputs'!$Q$39=0,(H$20*H$5)/100,MIN('CREST Inputs'!$Q$39,(H$20*H$5)/100))</f>
        <v>0</v>
      </c>
      <c r="I21" s="35">
        <f>IF('CREST Inputs'!$Q$39=0,(I$20*I$5)/100,MIN('CREST Inputs'!$Q$39,(I$20*I$5)/100))</f>
        <v>0</v>
      </c>
      <c r="J21" s="35">
        <f>IF('CREST Inputs'!$Q$39=0,(J$20*J$5)/100,MIN('CREST Inputs'!$Q$39,(J$20*J$5)/100))</f>
        <v>0</v>
      </c>
      <c r="K21" s="35">
        <f>IF('CREST Inputs'!$Q$39=0,(K$20*K$5)/100,MIN('CREST Inputs'!$Q$39,(K$20*K$5)/100))</f>
        <v>0</v>
      </c>
      <c r="L21" s="35">
        <f>IF('CREST Inputs'!$Q$39=0,(L$20*L$5)/100,MIN('CREST Inputs'!$Q$39,(L$20*L$5)/100))</f>
        <v>0</v>
      </c>
      <c r="M21" s="35">
        <f>IF('CREST Inputs'!$Q$39=0,(M$20*M$5)/100,MIN('CREST Inputs'!$Q$39,(M$20*M$5)/100))</f>
        <v>0</v>
      </c>
      <c r="N21" s="35">
        <f>IF('CREST Inputs'!$Q$39=0,(N$20*N$5)/100,MIN('CREST Inputs'!$Q$39,(N$20*N$5)/100))</f>
        <v>0</v>
      </c>
      <c r="O21" s="35">
        <f>IF('CREST Inputs'!$Q$39=0,(O$20*O$5)/100,MIN('CREST Inputs'!$Q$39,(O$20*O$5)/100))</f>
        <v>0</v>
      </c>
      <c r="P21" s="35">
        <f>IF('CREST Inputs'!$Q$39=0,(P$20*P$5)/100,MIN('CREST Inputs'!$Q$39,(P$20*P$5)/100))</f>
        <v>0</v>
      </c>
      <c r="Q21" s="35">
        <f>IF('CREST Inputs'!$Q$39=0,(Q$20*Q$5)/100,MIN('CREST Inputs'!$Q$39,(Q$20*Q$5)/100))</f>
        <v>0</v>
      </c>
      <c r="R21" s="35">
        <f>IF('CREST Inputs'!$Q$39=0,(R$20*R$5)/100,MIN('CREST Inputs'!$Q$39,(R$20*R$5)/100))</f>
        <v>0</v>
      </c>
      <c r="S21" s="35">
        <f>IF('CREST Inputs'!$Q$39=0,(S$20*S$5)/100,MIN('CREST Inputs'!$Q$39,(S$20*S$5)/100))</f>
        <v>0</v>
      </c>
      <c r="T21" s="35">
        <f>IF('CREST Inputs'!$Q$39=0,(T$20*T$5)/100,MIN('CREST Inputs'!$Q$39,(T$20*T$5)/100))</f>
        <v>0</v>
      </c>
      <c r="U21" s="35">
        <f>IF('CREST Inputs'!$Q$39=0,(U$20*U$5)/100,MIN('CREST Inputs'!$Q$39,(U$20*U$5)/100))</f>
        <v>0</v>
      </c>
      <c r="V21" s="35">
        <f>IF('CREST Inputs'!$Q$39=0,(V$20*V$5)/100,MIN('CREST Inputs'!$Q$39,(V$20*V$5)/100))</f>
        <v>0</v>
      </c>
      <c r="W21" s="35">
        <f>IF('CREST Inputs'!$Q$39=0,(W$20*W$5)/100,MIN('CREST Inputs'!$Q$39,(W$20*W$5)/100))</f>
        <v>0</v>
      </c>
      <c r="X21" s="35">
        <f>IF('CREST Inputs'!$Q$39=0,(X$20*X$5)/100,MIN('CREST Inputs'!$Q$39,(X$20*X$5)/100))</f>
        <v>0</v>
      </c>
      <c r="Y21" s="35">
        <f>IF('CREST Inputs'!$Q$39=0,(Y$20*Y$5)/100,MIN('CREST Inputs'!$Q$39,(Y$20*Y$5)/100))</f>
        <v>0</v>
      </c>
      <c r="Z21" s="35">
        <f>IF('CREST Inputs'!$Q$39=0,(Z$20*Z$5)/100,MIN('CREST Inputs'!$Q$39,(Z$20*Z$5)/100))</f>
        <v>0</v>
      </c>
      <c r="AA21" s="35">
        <f>IF('CREST Inputs'!$Q$39=0,(AA$20*AA$5)/100,MIN('CREST Inputs'!$Q$39,(AA$20*AA$5)/100))</f>
        <v>0</v>
      </c>
      <c r="AB21" s="35">
        <f>IF('CREST Inputs'!$Q$39=0,(AB$20*AB$5)/100,MIN('CREST Inputs'!$Q$39,(AB$20*AB$5)/100))</f>
        <v>0</v>
      </c>
      <c r="AC21" s="35">
        <f>IF('CREST Inputs'!$Q$39=0,(AC$20*AC$5)/100,MIN('CREST Inputs'!$Q$39,(AC$20*AC$5)/100))</f>
        <v>0</v>
      </c>
      <c r="AD21" s="35">
        <f>IF('CREST Inputs'!$Q$39=0,(AD$20*AD$5)/100,MIN('CREST Inputs'!$Q$39,(AD$20*AD$5)/100))</f>
        <v>0</v>
      </c>
      <c r="AE21" s="35">
        <f>IF('CREST Inputs'!$Q$39=0,(AE$20*AE$5)/100,MIN('CREST Inputs'!$Q$39,(AE$20*AE$5)/100))</f>
        <v>0</v>
      </c>
      <c r="AF21" s="35">
        <f>IF('CREST Inputs'!$Q$39=0,(AF$20*AF$5)/100,MIN('CREST Inputs'!$Q$39,(AF$20*AF$5)/100))</f>
        <v>0</v>
      </c>
      <c r="AG21" s="35">
        <f>IF('CREST Inputs'!$Q$39=0,(AG$20*AG$5)/100,MIN('CREST Inputs'!$Q$39,(AG$20*AG$5)/100))</f>
        <v>0</v>
      </c>
      <c r="AH21" s="35">
        <f>IF('CREST Inputs'!$Q$39=0,(AH$20*AH$5)/100,MIN('CREST Inputs'!$Q$39,(AH$20*AH$5)/100))</f>
        <v>0</v>
      </c>
      <c r="AI21" s="35">
        <f>IF('CREST Inputs'!$Q$39=0,(AI$20*AI$5)/100,MIN('CREST Inputs'!$Q$39,(AI$20*AI$5)/100))</f>
        <v>0</v>
      </c>
      <c r="AJ21" s="35">
        <f>IF('CREST Inputs'!$Q$39=0,(AJ$20*AJ$5)/100,MIN('CREST Inputs'!$Q$39,(AJ$20*AJ$5)/100))</f>
        <v>0</v>
      </c>
    </row>
    <row r="22" spans="2:36" s="36" customFormat="1" ht="15">
      <c r="B22" s="37" t="s">
        <v>153</v>
      </c>
      <c r="C22" s="37"/>
      <c r="D22" s="37"/>
      <c r="E22" s="67" t="s">
        <v>0</v>
      </c>
      <c r="F22" s="37"/>
      <c r="G22" s="86">
        <f>G199</f>
        <v>4165.220710468707</v>
      </c>
      <c r="H22" s="86">
        <f aca="true" t="shared" si="3" ref="H22:AJ22">H199</f>
        <v>4935.591080839077</v>
      </c>
      <c r="I22" s="86">
        <f t="shared" si="3"/>
        <v>5705.961451209449</v>
      </c>
      <c r="J22" s="86">
        <f t="shared" si="3"/>
        <v>6476.331821579819</v>
      </c>
      <c r="K22" s="86">
        <f t="shared" si="3"/>
        <v>7246.70219195019</v>
      </c>
      <c r="L22" s="86">
        <f t="shared" si="3"/>
        <v>6561.754060711632</v>
      </c>
      <c r="M22" s="86">
        <f t="shared" si="3"/>
        <v>5876.805929473073</v>
      </c>
      <c r="N22" s="86">
        <f t="shared" si="3"/>
        <v>6647.176299843443</v>
      </c>
      <c r="O22" s="86">
        <f t="shared" si="3"/>
        <v>7417.546670213815</v>
      </c>
      <c r="P22" s="86">
        <f t="shared" si="3"/>
        <v>4336.065188732333</v>
      </c>
      <c r="Q22" s="86">
        <f t="shared" si="3"/>
        <v>869.398522065666</v>
      </c>
      <c r="R22" s="86">
        <f t="shared" si="3"/>
        <v>869.398522065666</v>
      </c>
      <c r="S22" s="86">
        <f t="shared" si="3"/>
        <v>869.398522065666</v>
      </c>
      <c r="T22" s="86">
        <f t="shared" si="3"/>
        <v>869.398522065666</v>
      </c>
      <c r="U22" s="86">
        <f t="shared" si="3"/>
        <v>869.398522065666</v>
      </c>
      <c r="V22" s="86">
        <f t="shared" si="3"/>
        <v>869.398522065666</v>
      </c>
      <c r="W22" s="86">
        <f t="shared" si="3"/>
        <v>869.398522065666</v>
      </c>
      <c r="X22" s="86">
        <f t="shared" si="3"/>
        <v>869.398522065666</v>
      </c>
      <c r="Y22" s="86">
        <f t="shared" si="3"/>
        <v>869.398522065666</v>
      </c>
      <c r="Z22" s="86">
        <f t="shared" si="3"/>
        <v>869.398522065666</v>
      </c>
      <c r="AA22" s="86">
        <f t="shared" si="3"/>
        <v>869.398522065666</v>
      </c>
      <c r="AB22" s="86">
        <f t="shared" si="3"/>
        <v>869.398522065666</v>
      </c>
      <c r="AC22" s="86">
        <f t="shared" si="3"/>
        <v>869.398522065666</v>
      </c>
      <c r="AD22" s="86">
        <f t="shared" si="3"/>
        <v>869.398522065666</v>
      </c>
      <c r="AE22" s="86">
        <f t="shared" si="3"/>
        <v>434.6992610328343</v>
      </c>
      <c r="AF22" s="86">
        <f t="shared" si="3"/>
        <v>1.2369127944111825E-12</v>
      </c>
      <c r="AG22" s="86">
        <f t="shared" si="3"/>
        <v>0</v>
      </c>
      <c r="AH22" s="86">
        <f t="shared" si="3"/>
        <v>0</v>
      </c>
      <c r="AI22" s="86">
        <f t="shared" si="3"/>
        <v>0</v>
      </c>
      <c r="AJ22" s="86">
        <f t="shared" si="3"/>
        <v>0</v>
      </c>
    </row>
    <row r="23" spans="2:36" s="27" customFormat="1" ht="15.75">
      <c r="B23" s="32" t="s">
        <v>102</v>
      </c>
      <c r="C23" s="32"/>
      <c r="D23" s="32"/>
      <c r="E23" s="68" t="s">
        <v>0</v>
      </c>
      <c r="F23" s="32"/>
      <c r="G23" s="39">
        <f>G15+G17+G19+G21+G22</f>
        <v>502025.22071046854</v>
      </c>
      <c r="H23" s="39">
        <f aca="true" t="shared" si="4" ref="H23:AJ23">H15+H17+H19+H21+H22</f>
        <v>500306.29108083894</v>
      </c>
      <c r="I23" s="39">
        <f t="shared" si="4"/>
        <v>498599.80795120937</v>
      </c>
      <c r="J23" s="39">
        <f t="shared" si="4"/>
        <v>496905.7090890797</v>
      </c>
      <c r="K23" s="39">
        <f t="shared" si="4"/>
        <v>495223.93257311254</v>
      </c>
      <c r="L23" s="39">
        <f t="shared" si="4"/>
        <v>492099.0982899682</v>
      </c>
      <c r="M23" s="39">
        <f t="shared" si="4"/>
        <v>488986.4634375834</v>
      </c>
      <c r="N23" s="39">
        <f t="shared" si="4"/>
        <v>487341.2855204132</v>
      </c>
      <c r="O23" s="39">
        <f t="shared" si="4"/>
        <v>485708.18534468074</v>
      </c>
      <c r="P23" s="39">
        <f t="shared" si="4"/>
        <v>480235.2506698269</v>
      </c>
      <c r="Q23" s="39">
        <f t="shared" si="4"/>
        <v>474389.0880757547</v>
      </c>
      <c r="R23" s="39">
        <f>R15+R17+R19+R21+R22</f>
        <v>472021.4896279863</v>
      </c>
      <c r="S23" s="39">
        <f t="shared" si="4"/>
        <v>469665.72917245666</v>
      </c>
      <c r="T23" s="39">
        <f t="shared" si="4"/>
        <v>467321.7475192047</v>
      </c>
      <c r="U23" s="39">
        <f t="shared" si="4"/>
        <v>464989.48577421904</v>
      </c>
      <c r="V23" s="39">
        <f t="shared" si="4"/>
        <v>78023.92365345865</v>
      </c>
      <c r="W23" s="39">
        <f t="shared" si="4"/>
        <v>79173.52607791641</v>
      </c>
      <c r="X23" s="39">
        <f t="shared" si="4"/>
        <v>80340.25757849858</v>
      </c>
      <c r="Y23" s="39">
        <f t="shared" si="4"/>
        <v>81524.37337843943</v>
      </c>
      <c r="Z23" s="39">
        <f t="shared" si="4"/>
        <v>82726.1325037994</v>
      </c>
      <c r="AA23" s="39">
        <f t="shared" si="4"/>
        <v>83945.79784012724</v>
      </c>
      <c r="AB23" s="39">
        <f t="shared" si="4"/>
        <v>85183.63618996636</v>
      </c>
      <c r="AC23" s="39">
        <f t="shared" si="4"/>
        <v>86439.91833121807</v>
      </c>
      <c r="AD23" s="39">
        <f t="shared" si="4"/>
        <v>87714.91907637444</v>
      </c>
      <c r="AE23" s="39">
        <f t="shared" si="4"/>
        <v>88574.21807160082</v>
      </c>
      <c r="AF23" s="39">
        <f t="shared" si="4"/>
        <v>1.2369127944111825E-12</v>
      </c>
      <c r="AG23" s="39">
        <f t="shared" si="4"/>
        <v>0</v>
      </c>
      <c r="AH23" s="39">
        <f t="shared" si="4"/>
        <v>0</v>
      </c>
      <c r="AI23" s="39">
        <f t="shared" si="4"/>
        <v>0</v>
      </c>
      <c r="AJ23" s="39">
        <f t="shared" si="4"/>
        <v>0</v>
      </c>
    </row>
    <row r="24" s="27" customFormat="1" ht="15">
      <c r="E24" s="66"/>
    </row>
    <row r="25" spans="2:5" s="27" customFormat="1" ht="15.75">
      <c r="B25" s="32" t="s">
        <v>58</v>
      </c>
      <c r="C25" s="32"/>
      <c r="D25" s="32"/>
      <c r="E25" s="66"/>
    </row>
    <row r="26" spans="2:36" s="27" customFormat="1" ht="15">
      <c r="B26" s="27" t="s">
        <v>96</v>
      </c>
      <c r="E26" s="64"/>
      <c r="F26" s="30"/>
      <c r="G26" s="145">
        <v>1</v>
      </c>
      <c r="H26" s="70">
        <f>G26*(1+IF(G$2&lt;='CREST Inputs'!$G$34,'CREST Inputs'!$G$33,'CREST Inputs'!$G$35))</f>
        <v>1.02</v>
      </c>
      <c r="I26" s="70">
        <f>H26*(1+IF(H$2&lt;='CREST Inputs'!$G$34,'CREST Inputs'!$G$33,'CREST Inputs'!$G$35))</f>
        <v>1.0404</v>
      </c>
      <c r="J26" s="70">
        <f>I26*(1+IF(I$2&lt;='CREST Inputs'!$G$34,'CREST Inputs'!$G$33,'CREST Inputs'!$G$35))</f>
        <v>1.061208</v>
      </c>
      <c r="K26" s="70">
        <f>J26*(1+IF(J$2&lt;='CREST Inputs'!$G$34,'CREST Inputs'!$G$33,'CREST Inputs'!$G$35))</f>
        <v>1.08243216</v>
      </c>
      <c r="L26" s="70">
        <f>K26*(1+IF(K$2&lt;='CREST Inputs'!$G$34,'CREST Inputs'!$G$33,'CREST Inputs'!$G$35))</f>
        <v>1.1040808032</v>
      </c>
      <c r="M26" s="70">
        <f>L26*(1+IF(L$2&lt;='CREST Inputs'!$G$34,'CREST Inputs'!$G$33,'CREST Inputs'!$G$35))</f>
        <v>1.126162419264</v>
      </c>
      <c r="N26" s="70">
        <f>M26*(1+IF(M$2&lt;='CREST Inputs'!$G$34,'CREST Inputs'!$G$33,'CREST Inputs'!$G$35))</f>
        <v>1.14868566764928</v>
      </c>
      <c r="O26" s="70">
        <f>N26*(1+IF(N$2&lt;='CREST Inputs'!$G$34,'CREST Inputs'!$G$33,'CREST Inputs'!$G$35))</f>
        <v>1.1716593810022657</v>
      </c>
      <c r="P26" s="70">
        <f>O26*(1+IF(O$2&lt;='CREST Inputs'!$G$34,'CREST Inputs'!$G$33,'CREST Inputs'!$G$35))</f>
        <v>1.195092568622311</v>
      </c>
      <c r="Q26" s="70">
        <f>P26*(1+IF(P$2&lt;='CREST Inputs'!$G$34,'CREST Inputs'!$G$33,'CREST Inputs'!$G$35))</f>
        <v>1.2189944199947573</v>
      </c>
      <c r="R26" s="70">
        <f>Q26*(1+IF(Q$2&lt;='CREST Inputs'!$G$34,'CREST Inputs'!$G$33,'CREST Inputs'!$G$35))</f>
        <v>1.2433743083946525</v>
      </c>
      <c r="S26" s="70">
        <f>R26*(1+IF(R$2&lt;='CREST Inputs'!$G$34,'CREST Inputs'!$G$33,'CREST Inputs'!$G$35))</f>
        <v>1.2682417945625455</v>
      </c>
      <c r="T26" s="70">
        <f>S26*(1+IF(S$2&lt;='CREST Inputs'!$G$34,'CREST Inputs'!$G$33,'CREST Inputs'!$G$35))</f>
        <v>1.2936066304537963</v>
      </c>
      <c r="U26" s="70">
        <f>T26*(1+IF(T$2&lt;='CREST Inputs'!$G$34,'CREST Inputs'!$G$33,'CREST Inputs'!$G$35))</f>
        <v>1.3194787630628724</v>
      </c>
      <c r="V26" s="70">
        <f>U26*(1+IF(U$2&lt;='CREST Inputs'!$G$34,'CREST Inputs'!$G$33,'CREST Inputs'!$G$35))</f>
        <v>1.3458683383241299</v>
      </c>
      <c r="W26" s="70">
        <f>V26*(1+IF(V$2&lt;='CREST Inputs'!$G$34,'CREST Inputs'!$G$33,'CREST Inputs'!$G$35))</f>
        <v>1.3727857050906125</v>
      </c>
      <c r="X26" s="70">
        <f>W26*(1+IF(W$2&lt;='CREST Inputs'!$G$34,'CREST Inputs'!$G$33,'CREST Inputs'!$G$35))</f>
        <v>1.4002414191924248</v>
      </c>
      <c r="Y26" s="70">
        <f>X26*(1+IF(X$2&lt;='CREST Inputs'!$G$34,'CREST Inputs'!$G$33,'CREST Inputs'!$G$35))</f>
        <v>1.4282462475762734</v>
      </c>
      <c r="Z26" s="70">
        <f>Y26*(1+IF(Y$2&lt;='CREST Inputs'!$G$34,'CREST Inputs'!$G$33,'CREST Inputs'!$G$35))</f>
        <v>1.4568111725277988</v>
      </c>
      <c r="AA26" s="70">
        <f>Z26*(1+IF(Z$2&lt;='CREST Inputs'!$G$34,'CREST Inputs'!$G$33,'CREST Inputs'!$G$35))</f>
        <v>1.485947395978355</v>
      </c>
      <c r="AB26" s="70">
        <f>AA26*(1+IF(AA$2&lt;='CREST Inputs'!$G$34,'CREST Inputs'!$G$33,'CREST Inputs'!$G$35))</f>
        <v>1.515666343897922</v>
      </c>
      <c r="AC26" s="70">
        <f>AB26*(1+IF(AB$2&lt;='CREST Inputs'!$G$34,'CREST Inputs'!$G$33,'CREST Inputs'!$G$35))</f>
        <v>1.5459796707758806</v>
      </c>
      <c r="AD26" s="70">
        <f>AC26*(1+IF(AC$2&lt;='CREST Inputs'!$G$34,'CREST Inputs'!$G$33,'CREST Inputs'!$G$35))</f>
        <v>1.5768992641913981</v>
      </c>
      <c r="AE26" s="70">
        <f>AD26*(1+IF(AD$2&lt;='CREST Inputs'!$G$34,'CREST Inputs'!$G$33,'CREST Inputs'!$G$35))</f>
        <v>1.6084372494752261</v>
      </c>
      <c r="AF26" s="70">
        <f>AE26*(1+IF(AE$2&lt;='CREST Inputs'!$G$34,'CREST Inputs'!$G$33,'CREST Inputs'!$G$35))</f>
        <v>1.6406059944647307</v>
      </c>
      <c r="AG26" s="70">
        <f>AF26*(1+IF(AF$2&lt;='CREST Inputs'!$G$34,'CREST Inputs'!$G$33,'CREST Inputs'!$G$35))</f>
        <v>1.6734181143540252</v>
      </c>
      <c r="AH26" s="70">
        <f>AG26*(1+IF(AG$2&lt;='CREST Inputs'!$G$34,'CREST Inputs'!$G$33,'CREST Inputs'!$G$35))</f>
        <v>1.7068864766411058</v>
      </c>
      <c r="AI26" s="70">
        <f>AH26*(1+IF(AH$2&lt;='CREST Inputs'!$G$34,'CREST Inputs'!$G$33,'CREST Inputs'!$G$35))</f>
        <v>1.741024206173928</v>
      </c>
      <c r="AJ26" s="70">
        <f>AI26*(1+IF(AI$2&lt;='CREST Inputs'!$G$34,'CREST Inputs'!$G$33,'CREST Inputs'!$G$35))</f>
        <v>1.7758446902974065</v>
      </c>
    </row>
    <row r="27" spans="5:36" s="27" customFormat="1" ht="15.75">
      <c r="E27" s="64"/>
      <c r="F27" s="30"/>
      <c r="G27" s="75"/>
      <c r="H27" s="70"/>
      <c r="I27" s="70"/>
      <c r="J27" s="70"/>
      <c r="K27" s="70"/>
      <c r="L27" s="70"/>
      <c r="M27" s="70"/>
      <c r="N27" s="70"/>
      <c r="O27" s="70"/>
      <c r="P27" s="70"/>
      <c r="Q27" s="70"/>
      <c r="S27" s="70"/>
      <c r="T27" s="70"/>
      <c r="U27" s="70"/>
      <c r="V27" s="70"/>
      <c r="W27" s="70"/>
      <c r="X27" s="70"/>
      <c r="Y27" s="70"/>
      <c r="Z27" s="70"/>
      <c r="AA27" s="70"/>
      <c r="AB27" s="70"/>
      <c r="AC27" s="70"/>
      <c r="AD27" s="70"/>
      <c r="AE27" s="70"/>
      <c r="AF27" s="70"/>
      <c r="AG27" s="70"/>
      <c r="AH27" s="70"/>
      <c r="AI27" s="70"/>
      <c r="AJ27" s="70"/>
    </row>
    <row r="28" spans="2:36" s="27" customFormat="1" ht="15">
      <c r="B28" s="27" t="s">
        <v>97</v>
      </c>
      <c r="E28" s="64" t="s">
        <v>0</v>
      </c>
      <c r="F28" s="30"/>
      <c r="G28" s="71">
        <f>-IF(G$2&gt;'CREST Inputs'!$G$15,0,'CREST Inputs'!$G$31*'CREST Inputs'!$G$8*G$26)</f>
        <v>-26666.666666666664</v>
      </c>
      <c r="H28" s="71">
        <f>-IF(H$2&gt;'CREST Inputs'!$G$15,0,'CREST Inputs'!$G$31*'CREST Inputs'!$G$8*H$26)</f>
        <v>-27199.999999999996</v>
      </c>
      <c r="I28" s="71">
        <f>-IF(I$2&gt;'CREST Inputs'!$G$15,0,'CREST Inputs'!$G$31*'CREST Inputs'!$G$8*I$26)</f>
        <v>-27743.999999999996</v>
      </c>
      <c r="J28" s="71">
        <f>-IF(J$2&gt;'CREST Inputs'!$G$15,0,'CREST Inputs'!$G$31*'CREST Inputs'!$G$8*J$26)</f>
        <v>-28298.879999999994</v>
      </c>
      <c r="K28" s="71">
        <f>-IF(K$2&gt;'CREST Inputs'!$G$15,0,'CREST Inputs'!$G$31*'CREST Inputs'!$G$8*K$26)</f>
        <v>-28864.857599999996</v>
      </c>
      <c r="L28" s="71">
        <f>-IF(L$2&gt;'CREST Inputs'!$G$15,0,'CREST Inputs'!$G$31*'CREST Inputs'!$G$8*L$26)</f>
        <v>-29442.154752</v>
      </c>
      <c r="M28" s="71">
        <f>-IF(M$2&gt;'CREST Inputs'!$G$15,0,'CREST Inputs'!$G$31*'CREST Inputs'!$G$8*M$26)</f>
        <v>-30030.99784704</v>
      </c>
      <c r="N28" s="71">
        <f>-IF(N$2&gt;'CREST Inputs'!$G$15,0,'CREST Inputs'!$G$31*'CREST Inputs'!$G$8*N$26)</f>
        <v>-30631.6178039808</v>
      </c>
      <c r="O28" s="71">
        <f>-IF(O$2&gt;'CREST Inputs'!$G$15,0,'CREST Inputs'!$G$31*'CREST Inputs'!$G$8*O$26)</f>
        <v>-31244.250160060416</v>
      </c>
      <c r="P28" s="71">
        <f>-IF(P$2&gt;'CREST Inputs'!$G$15,0,'CREST Inputs'!$G$31*'CREST Inputs'!$G$8*P$26)</f>
        <v>-31869.135163261624</v>
      </c>
      <c r="Q28" s="71">
        <f>-IF(Q$2&gt;'CREST Inputs'!$G$15,0,'CREST Inputs'!$G$31*'CREST Inputs'!$G$8*Q$26)</f>
        <v>-32506.517866526858</v>
      </c>
      <c r="R28" s="71">
        <f>-IF(R$2&gt;'CREST Inputs'!$G$15,0,'CREST Inputs'!$G$31*'CREST Inputs'!$G$8*R$26)</f>
        <v>-33156.648223857395</v>
      </c>
      <c r="S28" s="71">
        <f>-IF(S$2&gt;'CREST Inputs'!$G$15,0,'CREST Inputs'!$G$31*'CREST Inputs'!$G$8*S$26)</f>
        <v>-33819.78118833454</v>
      </c>
      <c r="T28" s="71">
        <f>-IF(T$2&gt;'CREST Inputs'!$G$15,0,'CREST Inputs'!$G$31*'CREST Inputs'!$G$8*T$26)</f>
        <v>-34496.17681210123</v>
      </c>
      <c r="U28" s="71">
        <f>-IF(U$2&gt;'CREST Inputs'!$G$15,0,'CREST Inputs'!$G$31*'CREST Inputs'!$G$8*U$26)</f>
        <v>-35186.10034834326</v>
      </c>
      <c r="V28" s="71">
        <f>-IF(V$2&gt;'CREST Inputs'!$G$15,0,'CREST Inputs'!$G$31*'CREST Inputs'!$G$8*V$26)</f>
        <v>-35889.82235531013</v>
      </c>
      <c r="W28" s="71">
        <f>-IF(W$2&gt;'CREST Inputs'!$G$15,0,'CREST Inputs'!$G$31*'CREST Inputs'!$G$8*W$26)</f>
        <v>-36607.61880241633</v>
      </c>
      <c r="X28" s="71">
        <f>-IF(X$2&gt;'CREST Inputs'!$G$15,0,'CREST Inputs'!$G$31*'CREST Inputs'!$G$8*X$26)</f>
        <v>-37339.77117846466</v>
      </c>
      <c r="Y28" s="71">
        <f>-IF(Y$2&gt;'CREST Inputs'!$G$15,0,'CREST Inputs'!$G$31*'CREST Inputs'!$G$8*Y$26)</f>
        <v>-38086.566602033956</v>
      </c>
      <c r="Z28" s="71">
        <f>-IF(Z$2&gt;'CREST Inputs'!$G$15,0,'CREST Inputs'!$G$31*'CREST Inputs'!$G$8*Z$26)</f>
        <v>-38848.29793407463</v>
      </c>
      <c r="AA28" s="71">
        <f>-IF(AA$2&gt;'CREST Inputs'!$G$15,0,'CREST Inputs'!$G$31*'CREST Inputs'!$G$8*AA$26)</f>
        <v>-39625.26389275613</v>
      </c>
      <c r="AB28" s="71">
        <f>-IF(AB$2&gt;'CREST Inputs'!$G$15,0,'CREST Inputs'!$G$31*'CREST Inputs'!$G$8*AB$26)</f>
        <v>-40417.76917061125</v>
      </c>
      <c r="AC28" s="71">
        <f>-IF(AC$2&gt;'CREST Inputs'!$G$15,0,'CREST Inputs'!$G$31*'CREST Inputs'!$G$8*AC$26)</f>
        <v>-41226.12455402348</v>
      </c>
      <c r="AD28" s="71">
        <f>-IF(AD$2&gt;'CREST Inputs'!$G$15,0,'CREST Inputs'!$G$31*'CREST Inputs'!$G$8*AD$26)</f>
        <v>-42050.64704510395</v>
      </c>
      <c r="AE28" s="71">
        <f>-IF(AE$2&gt;'CREST Inputs'!$G$15,0,'CREST Inputs'!$G$31*'CREST Inputs'!$G$8*AE$26)</f>
        <v>-42891.65998600602</v>
      </c>
      <c r="AF28" s="71">
        <f>-IF(AF$2&gt;'CREST Inputs'!$G$15,0,'CREST Inputs'!$G$31*'CREST Inputs'!$G$8*AF$26)</f>
        <v>0</v>
      </c>
      <c r="AG28" s="71">
        <f>-IF(AG$2&gt;'CREST Inputs'!$G$15,0,'CREST Inputs'!$G$31*'CREST Inputs'!$G$8*AG$26)</f>
        <v>0</v>
      </c>
      <c r="AH28" s="71">
        <f>-IF(AH$2&gt;'CREST Inputs'!$G$15,0,'CREST Inputs'!$G$31*'CREST Inputs'!$G$8*AH$26)</f>
        <v>0</v>
      </c>
      <c r="AI28" s="71">
        <f>-IF(AI$2&gt;'CREST Inputs'!$G$15,0,'CREST Inputs'!$G$31*'CREST Inputs'!$G$8*AI$26)</f>
        <v>0</v>
      </c>
      <c r="AJ28" s="71">
        <f>-IF(AJ$2&gt;'CREST Inputs'!$G$15,0,'CREST Inputs'!$G$31*'CREST Inputs'!$G$8*AJ$26)</f>
        <v>0</v>
      </c>
    </row>
    <row r="29" spans="2:36" s="27" customFormat="1" ht="15">
      <c r="B29" s="27" t="s">
        <v>98</v>
      </c>
      <c r="E29" s="64" t="s">
        <v>0</v>
      </c>
      <c r="G29" s="71">
        <f>-IF(G$2&gt;'CREST Inputs'!$G$15,0,'CREST Inputs'!$G$32/100*G$5*G$26)</f>
        <v>0</v>
      </c>
      <c r="H29" s="71">
        <f>-IF(H$2&gt;'CREST Inputs'!$G$15,0,'CREST Inputs'!$G$32/100*H$5*H$26)</f>
        <v>0</v>
      </c>
      <c r="I29" s="71">
        <f>-IF(I$2&gt;'CREST Inputs'!$G$15,0,'CREST Inputs'!$G$32/100*I$5*I$26)</f>
        <v>0</v>
      </c>
      <c r="J29" s="71">
        <f>-IF(J$2&gt;'CREST Inputs'!$G$15,0,'CREST Inputs'!$G$32/100*J$5*J$26)</f>
        <v>0</v>
      </c>
      <c r="K29" s="71">
        <f>-IF(K$2&gt;'CREST Inputs'!$G$15,0,'CREST Inputs'!$G$32/100*K$5*K$26)</f>
        <v>0</v>
      </c>
      <c r="L29" s="71">
        <f>-IF(L$2&gt;'CREST Inputs'!$G$15,0,'CREST Inputs'!$G$32/100*L$5*L$26)</f>
        <v>0</v>
      </c>
      <c r="M29" s="71">
        <f>-IF(M$2&gt;'CREST Inputs'!$G$15,0,'CREST Inputs'!$G$32/100*M$5*M$26)</f>
        <v>0</v>
      </c>
      <c r="N29" s="71">
        <f>-IF(N$2&gt;'CREST Inputs'!$G$15,0,'CREST Inputs'!$G$32/100*N$5*N$26)</f>
        <v>0</v>
      </c>
      <c r="O29" s="71">
        <f>-IF(O$2&gt;'CREST Inputs'!$G$15,0,'CREST Inputs'!$G$32/100*O$5*O$26)</f>
        <v>0</v>
      </c>
      <c r="P29" s="71">
        <f>-IF(P$2&gt;'CREST Inputs'!$G$15,0,'CREST Inputs'!$G$32/100*P$5*P$26)</f>
        <v>0</v>
      </c>
      <c r="Q29" s="71">
        <f>-IF(Q$2&gt;'CREST Inputs'!$G$15,0,'CREST Inputs'!$G$32/100*Q$5*Q$26)</f>
        <v>0</v>
      </c>
      <c r="R29" s="71">
        <f>-IF(R$2&gt;'CREST Inputs'!$G$15,0,'CREST Inputs'!$G$32/100*R$5*R$26)</f>
        <v>0</v>
      </c>
      <c r="S29" s="71">
        <f>-IF(S$2&gt;'CREST Inputs'!$G$15,0,'CREST Inputs'!$G$32/100*S$5*S$26)</f>
        <v>0</v>
      </c>
      <c r="T29" s="71">
        <f>-IF(T$2&gt;'CREST Inputs'!$G$15,0,'CREST Inputs'!$G$32/100*T$5*T$26)</f>
        <v>0</v>
      </c>
      <c r="U29" s="71">
        <f>-IF(U$2&gt;'CREST Inputs'!$G$15,0,'CREST Inputs'!$G$32/100*U$5*U$26)</f>
        <v>0</v>
      </c>
      <c r="V29" s="71">
        <f>-IF(V$2&gt;'CREST Inputs'!$G$15,0,'CREST Inputs'!$G$32/100*V$5*V$26)</f>
        <v>0</v>
      </c>
      <c r="W29" s="71">
        <f>-IF(W$2&gt;'CREST Inputs'!$G$15,0,'CREST Inputs'!$G$32/100*W$5*W$26)</f>
        <v>0</v>
      </c>
      <c r="X29" s="71">
        <f>-IF(X$2&gt;'CREST Inputs'!$G$15,0,'CREST Inputs'!$G$32/100*X$5*X$26)</f>
        <v>0</v>
      </c>
      <c r="Y29" s="71">
        <f>-IF(Y$2&gt;'CREST Inputs'!$G$15,0,'CREST Inputs'!$G$32/100*Y$5*Y$26)</f>
        <v>0</v>
      </c>
      <c r="Z29" s="71">
        <f>-IF(Z$2&gt;'CREST Inputs'!$G$15,0,'CREST Inputs'!$G$32/100*Z$5*Z$26)</f>
        <v>0</v>
      </c>
      <c r="AA29" s="71">
        <f>-IF(AA$2&gt;'CREST Inputs'!$G$15,0,'CREST Inputs'!$G$32/100*AA$5*AA$26)</f>
        <v>0</v>
      </c>
      <c r="AB29" s="71">
        <f>-IF(AB$2&gt;'CREST Inputs'!$G$15,0,'CREST Inputs'!$G$32/100*AB$5*AB$26)</f>
        <v>0</v>
      </c>
      <c r="AC29" s="71">
        <f>-IF(AC$2&gt;'CREST Inputs'!$G$15,0,'CREST Inputs'!$G$32/100*AC$5*AC$26)</f>
        <v>0</v>
      </c>
      <c r="AD29" s="71">
        <f>-IF(AD$2&gt;'CREST Inputs'!$G$15,0,'CREST Inputs'!$G$32/100*AD$5*AD$26)</f>
        <v>0</v>
      </c>
      <c r="AE29" s="71">
        <f>-IF(AE$2&gt;'CREST Inputs'!$G$15,0,'CREST Inputs'!$G$32/100*AE$5*AE$26)</f>
        <v>0</v>
      </c>
      <c r="AF29" s="71">
        <f>-IF(AF$2&gt;'CREST Inputs'!$G$15,0,'CREST Inputs'!$G$32/100*AF$5*AF$26)</f>
        <v>0</v>
      </c>
      <c r="AG29" s="71">
        <f>-IF(AG$2&gt;'CREST Inputs'!$G$15,0,'CREST Inputs'!$G$32/100*AG$5*AG$26)</f>
        <v>0</v>
      </c>
      <c r="AH29" s="71">
        <f>-IF(AH$2&gt;'CREST Inputs'!$G$15,0,'CREST Inputs'!$G$32/100*AH$5*AH$26)</f>
        <v>0</v>
      </c>
      <c r="AI29" s="71">
        <f>-IF(AI$2&gt;'CREST Inputs'!$G$15,0,'CREST Inputs'!$G$32/100*AI$5*AI$26)</f>
        <v>0</v>
      </c>
      <c r="AJ29" s="71">
        <f>-IF(AJ$2&gt;'CREST Inputs'!$G$15,0,'CREST Inputs'!$G$32/100*AJ$5*AJ$26)</f>
        <v>0</v>
      </c>
    </row>
    <row r="30" spans="2:36" s="27" customFormat="1" ht="15">
      <c r="B30" s="27" t="s">
        <v>60</v>
      </c>
      <c r="E30" s="64" t="s">
        <v>0</v>
      </c>
      <c r="G30" s="71">
        <f>-IF('CREST Inputs'!$G$30="simple",0,IF(G$2&gt;'CREST Inputs'!$G$15,0,'CREST Inputs'!$G$37*G$26))</f>
        <v>-8212.75918397091</v>
      </c>
      <c r="H30" s="71">
        <f>-IF('CREST Inputs'!$G$30="simple",0,IF(H$2&gt;'CREST Inputs'!$G$15,0,'CREST Inputs'!$G$37*H$26))</f>
        <v>-8377.014367650328</v>
      </c>
      <c r="I30" s="71">
        <f>-IF('CREST Inputs'!$G$30="simple",0,IF(I$2&gt;'CREST Inputs'!$G$15,0,'CREST Inputs'!$G$37*I$26))</f>
        <v>-8544.554655003334</v>
      </c>
      <c r="J30" s="71">
        <f>-IF('CREST Inputs'!$G$30="simple",0,IF(J$2&gt;'CREST Inputs'!$G$15,0,'CREST Inputs'!$G$37*J$26))</f>
        <v>-8715.4457481034</v>
      </c>
      <c r="K30" s="71">
        <f>-IF('CREST Inputs'!$G$30="simple",0,IF(K$2&gt;'CREST Inputs'!$G$15,0,'CREST Inputs'!$G$37*K$26))</f>
        <v>-8889.754663065469</v>
      </c>
      <c r="L30" s="71">
        <f>-IF('CREST Inputs'!$G$30="simple",0,IF(L$2&gt;'CREST Inputs'!$G$15,0,'CREST Inputs'!$G$37*L$26))</f>
        <v>-9067.549756326778</v>
      </c>
      <c r="M30" s="71">
        <f>-IF('CREST Inputs'!$G$30="simple",0,IF(M$2&gt;'CREST Inputs'!$G$15,0,'CREST Inputs'!$G$37*M$26))</f>
        <v>-9248.900751453315</v>
      </c>
      <c r="N30" s="71">
        <f>-IF('CREST Inputs'!$G$30="simple",0,IF(N$2&gt;'CREST Inputs'!$G$15,0,'CREST Inputs'!$G$37*N$26))</f>
        <v>-9433.87876648238</v>
      </c>
      <c r="O30" s="71">
        <f>-IF('CREST Inputs'!$G$30="simple",0,IF(O$2&gt;'CREST Inputs'!$G$15,0,'CREST Inputs'!$G$37*O$26))</f>
        <v>-9622.55634181203</v>
      </c>
      <c r="P30" s="71">
        <f>-IF('CREST Inputs'!$G$30="simple",0,IF(P$2&gt;'CREST Inputs'!$G$15,0,'CREST Inputs'!$G$37*P$26))</f>
        <v>-9815.00746864827</v>
      </c>
      <c r="Q30" s="71">
        <f>-IF('CREST Inputs'!$G$30="simple",0,IF(Q$2&gt;'CREST Inputs'!$G$15,0,'CREST Inputs'!$G$37*Q$26))</f>
        <v>-10011.307618021236</v>
      </c>
      <c r="R30" s="71">
        <f>-IF('CREST Inputs'!$G$30="simple",0,IF(R$2&gt;'CREST Inputs'!$G$15,0,'CREST Inputs'!$G$37*R$26))</f>
        <v>-10211.53377038166</v>
      </c>
      <c r="S30" s="71">
        <f>-IF('CREST Inputs'!$G$30="simple",0,IF(S$2&gt;'CREST Inputs'!$G$15,0,'CREST Inputs'!$G$37*S$26))</f>
        <v>-10415.764445789293</v>
      </c>
      <c r="T30" s="71">
        <f>-IF('CREST Inputs'!$G$30="simple",0,IF(T$2&gt;'CREST Inputs'!$G$15,0,'CREST Inputs'!$G$37*T$26))</f>
        <v>-10624.079734705077</v>
      </c>
      <c r="U30" s="71">
        <f>-IF('CREST Inputs'!$G$30="simple",0,IF(U$2&gt;'CREST Inputs'!$G$15,0,'CREST Inputs'!$G$37*U$26))</f>
        <v>-10836.561329399181</v>
      </c>
      <c r="V30" s="71">
        <f>-IF('CREST Inputs'!$G$30="simple",0,IF(V$2&gt;'CREST Inputs'!$G$15,0,'CREST Inputs'!$G$37*V$26))</f>
        <v>-11053.292555987166</v>
      </c>
      <c r="W30" s="71">
        <f>-IF('CREST Inputs'!$G$30="simple",0,IF(W$2&gt;'CREST Inputs'!$G$15,0,'CREST Inputs'!$G$37*W$26))</f>
        <v>-11274.358407106907</v>
      </c>
      <c r="X30" s="71">
        <f>-IF('CREST Inputs'!$G$30="simple",0,IF(X$2&gt;'CREST Inputs'!$G$15,0,'CREST Inputs'!$G$37*X$26))</f>
        <v>-11499.845575249046</v>
      </c>
      <c r="Y30" s="71">
        <f>-IF('CREST Inputs'!$G$30="simple",0,IF(Y$2&gt;'CREST Inputs'!$G$15,0,'CREST Inputs'!$G$37*Y$26))</f>
        <v>-11729.842486754029</v>
      </c>
      <c r="Z30" s="71">
        <f>-IF('CREST Inputs'!$G$30="simple",0,IF(Z$2&gt;'CREST Inputs'!$G$15,0,'CREST Inputs'!$G$37*Z$26))</f>
        <v>-11964.43933648911</v>
      </c>
      <c r="AA30" s="71">
        <f>-IF('CREST Inputs'!$G$30="simple",0,IF(AA$2&gt;'CREST Inputs'!$G$15,0,'CREST Inputs'!$G$37*AA$26))</f>
        <v>-12203.728123218893</v>
      </c>
      <c r="AB30" s="71">
        <f>-IF('CREST Inputs'!$G$30="simple",0,IF(AB$2&gt;'CREST Inputs'!$G$15,0,'CREST Inputs'!$G$37*AB$26))</f>
        <v>-12447.802685683271</v>
      </c>
      <c r="AC30" s="71">
        <f>-IF('CREST Inputs'!$G$30="simple",0,IF(AC$2&gt;'CREST Inputs'!$G$15,0,'CREST Inputs'!$G$37*AC$26))</f>
        <v>-12696.758739396937</v>
      </c>
      <c r="AD30" s="71">
        <f>-IF('CREST Inputs'!$G$30="simple",0,IF(AD$2&gt;'CREST Inputs'!$G$15,0,'CREST Inputs'!$G$37*AD$26))</f>
        <v>-12950.693914184874</v>
      </c>
      <c r="AE30" s="71">
        <f>-IF('CREST Inputs'!$G$30="simple",0,IF(AE$2&gt;'CREST Inputs'!$G$15,0,'CREST Inputs'!$G$37*AE$26))</f>
        <v>-13209.707792468573</v>
      </c>
      <c r="AF30" s="71">
        <f>-IF('CREST Inputs'!$G$30="simple",0,IF(AF$2&gt;'CREST Inputs'!$G$15,0,'CREST Inputs'!$G$37*AF$26))</f>
        <v>0</v>
      </c>
      <c r="AG30" s="71">
        <f>-IF('CREST Inputs'!$G$30="simple",0,IF(AG$2&gt;'CREST Inputs'!$G$15,0,'CREST Inputs'!$G$37*AG$26))</f>
        <v>0</v>
      </c>
      <c r="AH30" s="71">
        <f>-IF('CREST Inputs'!$G$30="simple",0,IF(AH$2&gt;'CREST Inputs'!$G$15,0,'CREST Inputs'!$G$37*AH$26))</f>
        <v>0</v>
      </c>
      <c r="AI30" s="71">
        <f>-IF('CREST Inputs'!$G$30="simple",0,IF(AI$2&gt;'CREST Inputs'!$G$15,0,'CREST Inputs'!$G$37*AI$26))</f>
        <v>0</v>
      </c>
      <c r="AJ30" s="71">
        <f>-IF('CREST Inputs'!$G$30="simple",0,IF(AJ$2&gt;'CREST Inputs'!$G$15,0,'CREST Inputs'!$G$37*AJ$26))</f>
        <v>0</v>
      </c>
    </row>
    <row r="31" spans="2:36" s="27" customFormat="1" ht="15">
      <c r="B31" s="27" t="s">
        <v>59</v>
      </c>
      <c r="E31" s="64" t="s">
        <v>0</v>
      </c>
      <c r="G31" s="71">
        <f>-IF('CREST Inputs'!$G$30="simple",0,IF(G$2&gt;'CREST Inputs'!$G$15,0,'CREST Inputs'!$G$38*G$26))</f>
        <v>-13333.333333333332</v>
      </c>
      <c r="H31" s="71">
        <f>-IF('CREST Inputs'!$G$30="simple",0,IF(H$2&gt;'CREST Inputs'!$G$15,0,'CREST Inputs'!$G$38*H$26))</f>
        <v>-13599.999999999998</v>
      </c>
      <c r="I31" s="71">
        <f>-IF('CREST Inputs'!$G$30="simple",0,IF(I$2&gt;'CREST Inputs'!$G$15,0,'CREST Inputs'!$G$38*I$26))</f>
        <v>-13871.999999999998</v>
      </c>
      <c r="J31" s="71">
        <f>-IF('CREST Inputs'!$G$30="simple",0,IF(J$2&gt;'CREST Inputs'!$G$15,0,'CREST Inputs'!$G$38*J$26))</f>
        <v>-14149.439999999997</v>
      </c>
      <c r="K31" s="71">
        <f>-IF('CREST Inputs'!$G$30="simple",0,IF(K$2&gt;'CREST Inputs'!$G$15,0,'CREST Inputs'!$G$38*K$26))</f>
        <v>-14432.428799999998</v>
      </c>
      <c r="L31" s="71">
        <f>-IF('CREST Inputs'!$G$30="simple",0,IF(L$2&gt;'CREST Inputs'!$G$15,0,'CREST Inputs'!$G$38*L$26))</f>
        <v>-14721.077376</v>
      </c>
      <c r="M31" s="71">
        <f>-IF('CREST Inputs'!$G$30="simple",0,IF(M$2&gt;'CREST Inputs'!$G$15,0,'CREST Inputs'!$G$38*M$26))</f>
        <v>-15015.49892352</v>
      </c>
      <c r="N31" s="71">
        <f>-IF('CREST Inputs'!$G$30="simple",0,IF(N$2&gt;'CREST Inputs'!$G$15,0,'CREST Inputs'!$G$38*N$26))</f>
        <v>-15315.8089019904</v>
      </c>
      <c r="O31" s="71">
        <f>-IF('CREST Inputs'!$G$30="simple",0,IF(O$2&gt;'CREST Inputs'!$G$15,0,'CREST Inputs'!$G$38*O$26))</f>
        <v>-15622.125080030208</v>
      </c>
      <c r="P31" s="71">
        <f>-IF('CREST Inputs'!$G$30="simple",0,IF(P$2&gt;'CREST Inputs'!$G$15,0,'CREST Inputs'!$G$38*P$26))</f>
        <v>-15934.567581630812</v>
      </c>
      <c r="Q31" s="71">
        <f>-IF('CREST Inputs'!$G$30="simple",0,IF(Q$2&gt;'CREST Inputs'!$G$15,0,'CREST Inputs'!$G$38*Q$26))</f>
        <v>-16253.258933263429</v>
      </c>
      <c r="R31" s="71">
        <f>-IF('CREST Inputs'!$G$30="simple",0,IF(R$2&gt;'CREST Inputs'!$G$15,0,'CREST Inputs'!$G$38*R$26))</f>
        <v>-16578.324111928698</v>
      </c>
      <c r="S31" s="71">
        <f>-IF('CREST Inputs'!$G$30="simple",0,IF(S$2&gt;'CREST Inputs'!$G$15,0,'CREST Inputs'!$G$38*S$26))</f>
        <v>-16909.89059416727</v>
      </c>
      <c r="T31" s="71">
        <f>-IF('CREST Inputs'!$G$30="simple",0,IF(T$2&gt;'CREST Inputs'!$G$15,0,'CREST Inputs'!$G$38*T$26))</f>
        <v>-17248.088406050614</v>
      </c>
      <c r="U31" s="71">
        <f>-IF('CREST Inputs'!$G$30="simple",0,IF(U$2&gt;'CREST Inputs'!$G$15,0,'CREST Inputs'!$G$38*U$26))</f>
        <v>-17593.05017417163</v>
      </c>
      <c r="V31" s="71">
        <f>-IF('CREST Inputs'!$G$30="simple",0,IF(V$2&gt;'CREST Inputs'!$G$15,0,'CREST Inputs'!$G$38*V$26))</f>
        <v>-17944.911177655064</v>
      </c>
      <c r="W31" s="71">
        <f>-IF('CREST Inputs'!$G$30="simple",0,IF(W$2&gt;'CREST Inputs'!$G$15,0,'CREST Inputs'!$G$38*W$26))</f>
        <v>-18303.809401208164</v>
      </c>
      <c r="X31" s="71">
        <f>-IF('CREST Inputs'!$G$30="simple",0,IF(X$2&gt;'CREST Inputs'!$G$15,0,'CREST Inputs'!$G$38*X$26))</f>
        <v>-18669.88558923233</v>
      </c>
      <c r="Y31" s="71">
        <f>-IF('CREST Inputs'!$G$30="simple",0,IF(Y$2&gt;'CREST Inputs'!$G$15,0,'CREST Inputs'!$G$38*Y$26))</f>
        <v>-19043.283301016978</v>
      </c>
      <c r="Z31" s="71">
        <f>-IF('CREST Inputs'!$G$30="simple",0,IF(Z$2&gt;'CREST Inputs'!$G$15,0,'CREST Inputs'!$G$38*Z$26))</f>
        <v>-19424.148967037316</v>
      </c>
      <c r="AA31" s="71">
        <f>-IF('CREST Inputs'!$G$30="simple",0,IF(AA$2&gt;'CREST Inputs'!$G$15,0,'CREST Inputs'!$G$38*AA$26))</f>
        <v>-19812.631946378064</v>
      </c>
      <c r="AB31" s="71">
        <f>-IF('CREST Inputs'!$G$30="simple",0,IF(AB$2&gt;'CREST Inputs'!$G$15,0,'CREST Inputs'!$G$38*AB$26))</f>
        <v>-20208.884585305626</v>
      </c>
      <c r="AC31" s="71">
        <f>-IF('CREST Inputs'!$G$30="simple",0,IF(AC$2&gt;'CREST Inputs'!$G$15,0,'CREST Inputs'!$G$38*AC$26))</f>
        <v>-20613.06227701174</v>
      </c>
      <c r="AD31" s="71">
        <f>-IF('CREST Inputs'!$G$30="simple",0,IF(AD$2&gt;'CREST Inputs'!$G$15,0,'CREST Inputs'!$G$38*AD$26))</f>
        <v>-21025.323522551975</v>
      </c>
      <c r="AE31" s="71">
        <f>-IF('CREST Inputs'!$G$30="simple",0,IF(AE$2&gt;'CREST Inputs'!$G$15,0,'CREST Inputs'!$G$38*AE$26))</f>
        <v>-21445.82999300301</v>
      </c>
      <c r="AF31" s="71">
        <f>-IF('CREST Inputs'!$G$30="simple",0,IF(AF$2&gt;'CREST Inputs'!$G$15,0,'CREST Inputs'!$G$38*AF$26))</f>
        <v>0</v>
      </c>
      <c r="AG31" s="71">
        <f>-IF('CREST Inputs'!$G$30="simple",0,IF(AG$2&gt;'CREST Inputs'!$G$15,0,'CREST Inputs'!$G$38*AG$26))</f>
        <v>0</v>
      </c>
      <c r="AH31" s="71">
        <f>-IF('CREST Inputs'!$G$30="simple",0,IF(AH$2&gt;'CREST Inputs'!$G$15,0,'CREST Inputs'!$G$38*AH$26))</f>
        <v>0</v>
      </c>
      <c r="AI31" s="71">
        <f>-IF('CREST Inputs'!$G$30="simple",0,IF(AI$2&gt;'CREST Inputs'!$G$15,0,'CREST Inputs'!$G$38*AI$26))</f>
        <v>0</v>
      </c>
      <c r="AJ31" s="71">
        <f>-IF('CREST Inputs'!$G$30="simple",0,IF(AJ$2&gt;'CREST Inputs'!$G$15,0,'CREST Inputs'!$G$38*AJ$26))</f>
        <v>0</v>
      </c>
    </row>
    <row r="32" spans="2:36" s="27" customFormat="1" ht="15">
      <c r="B32" s="27" t="s">
        <v>99</v>
      </c>
      <c r="E32" s="64" t="s">
        <v>0</v>
      </c>
      <c r="G32" s="71">
        <f>IF('CREST Inputs'!$G$30="simple",0,IF(G$2&gt;'CREST Inputs'!$G$15,0,-'CREST Inputs'!$G$39))</f>
        <v>-12000</v>
      </c>
      <c r="H32" s="71">
        <f>IF('CREST Inputs'!$G$30="simple",0,IF(H$2&gt;'CREST Inputs'!$G$15,0,G32*(1+'CREST Inputs'!$G$40)))</f>
        <v>-11580</v>
      </c>
      <c r="I32" s="71">
        <f>IF('CREST Inputs'!$G$30="simple",0,IF(I$2&gt;'CREST Inputs'!$G$15,0,H32*(1+'CREST Inputs'!$G$40)))</f>
        <v>-11174.699999999999</v>
      </c>
      <c r="J32" s="71">
        <f>IF('CREST Inputs'!$G$30="simple",0,IF(J$2&gt;'CREST Inputs'!$G$15,0,I32*(1+'CREST Inputs'!$G$40)))</f>
        <v>-10783.5855</v>
      </c>
      <c r="K32" s="71">
        <f>IF('CREST Inputs'!$G$30="simple",0,IF(K$2&gt;'CREST Inputs'!$G$15,0,J32*(1+'CREST Inputs'!$G$40)))</f>
        <v>-10406.160007499999</v>
      </c>
      <c r="L32" s="71">
        <f>IF('CREST Inputs'!$G$30="simple",0,IF(L$2&gt;'CREST Inputs'!$G$15,0,K32*(1+'CREST Inputs'!$G$40)))</f>
        <v>-10041.944407237499</v>
      </c>
      <c r="M32" s="71">
        <f>IF('CREST Inputs'!$G$30="simple",0,IF(M$2&gt;'CREST Inputs'!$G$15,0,L32*(1+'CREST Inputs'!$G$40)))</f>
        <v>-9690.476352984186</v>
      </c>
      <c r="N32" s="71">
        <f>IF('CREST Inputs'!$G$30="simple",0,IF(N$2&gt;'CREST Inputs'!$G$15,0,M32*(1+'CREST Inputs'!$G$40)))</f>
        <v>-9351.309680629738</v>
      </c>
      <c r="O32" s="71">
        <f>IF('CREST Inputs'!$G$30="simple",0,IF(O$2&gt;'CREST Inputs'!$G$15,0,N32*(1+'CREST Inputs'!$G$40)))</f>
        <v>-9024.013841807697</v>
      </c>
      <c r="P32" s="71">
        <f>IF('CREST Inputs'!$G$30="simple",0,IF(P$2&gt;'CREST Inputs'!$G$15,0,O32*(1+'CREST Inputs'!$G$40)))</f>
        <v>-8708.173357344427</v>
      </c>
      <c r="Q32" s="71">
        <f>IF('CREST Inputs'!$G$30="simple",0,IF(Q$2&gt;'CREST Inputs'!$G$15,0,P32*(1+'CREST Inputs'!$G$40)))</f>
        <v>-8403.387289837372</v>
      </c>
      <c r="R32" s="71">
        <f>IF('CREST Inputs'!$G$30="simple",0,IF(R$2&gt;'CREST Inputs'!$G$15,0,Q32*(1+'CREST Inputs'!$G$40)))</f>
        <v>-8109.268734693063</v>
      </c>
      <c r="S32" s="71">
        <f>IF('CREST Inputs'!$G$30="simple",0,IF(S$2&gt;'CREST Inputs'!$G$15,0,R32*(1+'CREST Inputs'!$G$40)))</f>
        <v>-7825.444328978806</v>
      </c>
      <c r="T32" s="71">
        <f>IF('CREST Inputs'!$G$30="simple",0,IF(T$2&gt;'CREST Inputs'!$G$15,0,S32*(1+'CREST Inputs'!$G$40)))</f>
        <v>-7551.553777464547</v>
      </c>
      <c r="U32" s="71">
        <f>IF('CREST Inputs'!$G$30="simple",0,IF(U$2&gt;'CREST Inputs'!$G$15,0,T32*(1+'CREST Inputs'!$G$40)))</f>
        <v>-7287.249395253288</v>
      </c>
      <c r="V32" s="71">
        <f>IF('CREST Inputs'!$G$30="simple",0,IF(V$2&gt;'CREST Inputs'!$G$15,0,U32*(1+'CREST Inputs'!$G$40)))</f>
        <v>-7032.195666419422</v>
      </c>
      <c r="W32" s="71">
        <f>IF('CREST Inputs'!$G$30="simple",0,IF(W$2&gt;'CREST Inputs'!$G$15,0,V32*(1+'CREST Inputs'!$G$40)))</f>
        <v>-6786.068818094742</v>
      </c>
      <c r="X32" s="71">
        <f>IF('CREST Inputs'!$G$30="simple",0,IF(X$2&gt;'CREST Inputs'!$G$15,0,W32*(1+'CREST Inputs'!$G$40)))</f>
        <v>-6548.556409461426</v>
      </c>
      <c r="Y32" s="71">
        <f>IF('CREST Inputs'!$G$30="simple",0,IF(Y$2&gt;'CREST Inputs'!$G$15,0,X32*(1+'CREST Inputs'!$G$40)))</f>
        <v>-6319.356935130276</v>
      </c>
      <c r="Z32" s="71">
        <f>IF('CREST Inputs'!$G$30="simple",0,IF(Z$2&gt;'CREST Inputs'!$G$15,0,Y32*(1+'CREST Inputs'!$G$40)))</f>
        <v>-6098.179442400716</v>
      </c>
      <c r="AA32" s="71">
        <f>IF('CREST Inputs'!$G$30="simple",0,IF(AA$2&gt;'CREST Inputs'!$G$15,0,Z32*(1+'CREST Inputs'!$G$40)))</f>
        <v>-5884.743161916691</v>
      </c>
      <c r="AB32" s="71">
        <f>IF('CREST Inputs'!$G$30="simple",0,IF(AB$2&gt;'CREST Inputs'!$G$15,0,AA32*(1+'CREST Inputs'!$G$40)))</f>
        <v>-5678.7771512496065</v>
      </c>
      <c r="AC32" s="71">
        <f>IF('CREST Inputs'!$G$30="simple",0,IF(AC$2&gt;'CREST Inputs'!$G$15,0,AB32*(1+'CREST Inputs'!$G$40)))</f>
        <v>-5480.01995095587</v>
      </c>
      <c r="AD32" s="71">
        <f>IF('CREST Inputs'!$G$30="simple",0,IF(AD$2&gt;'CREST Inputs'!$G$15,0,AC32*(1+'CREST Inputs'!$G$40)))</f>
        <v>-5288.219252672414</v>
      </c>
      <c r="AE32" s="71">
        <f>IF('CREST Inputs'!$G$30="simple",0,IF(AE$2&gt;'CREST Inputs'!$G$15,0,AD32*(1+'CREST Inputs'!$G$40)))</f>
        <v>-5103.131578828879</v>
      </c>
      <c r="AF32" s="71">
        <f>IF('CREST Inputs'!$G$30="simple",0,IF(AF$2&gt;'CREST Inputs'!$G$15,0,AE32*(1+'CREST Inputs'!$G$40)))</f>
        <v>0</v>
      </c>
      <c r="AG32" s="71">
        <f>IF('CREST Inputs'!$G$30="simple",0,IF(AG$2&gt;'CREST Inputs'!$G$15,0,AF32*(1+'CREST Inputs'!$G$40)))</f>
        <v>0</v>
      </c>
      <c r="AH32" s="71">
        <f>IF('CREST Inputs'!$G$30="simple",0,IF(AH$2&gt;'CREST Inputs'!$G$15,0,AG32*(1+'CREST Inputs'!$G$40)))</f>
        <v>0</v>
      </c>
      <c r="AI32" s="71">
        <f>IF('CREST Inputs'!$G$30="simple",0,IF(AI$2&gt;'CREST Inputs'!$G$15,0,AH32*(1+'CREST Inputs'!$G$40)))</f>
        <v>0</v>
      </c>
      <c r="AJ32" s="71">
        <f>IF('CREST Inputs'!$G$30="simple",0,IF(AJ$2&gt;'CREST Inputs'!$G$15,0,AI32*(1+'CREST Inputs'!$G$40)))</f>
        <v>0</v>
      </c>
    </row>
    <row r="33" spans="2:36" s="27" customFormat="1" ht="15">
      <c r="B33" s="27" t="s">
        <v>268</v>
      </c>
      <c r="E33" s="64" t="s">
        <v>0</v>
      </c>
      <c r="G33" s="71">
        <f>IF('CREST Inputs'!$G$30="simple",0,IF(G$2&gt;'CREST Inputs'!$G$15,0,-'CREST Inputs'!$G$41*G$26))</f>
        <v>-13333.333333333332</v>
      </c>
      <c r="H33" s="71">
        <f>IF('CREST Inputs'!$G$30="simple",0,IF(H$2&gt;'CREST Inputs'!$G$15,0,-'CREST Inputs'!$G$41*H$26))</f>
        <v>-13599.999999999998</v>
      </c>
      <c r="I33" s="71">
        <f>IF('CREST Inputs'!$G$30="simple",0,IF(I$2&gt;'CREST Inputs'!$G$15,0,-'CREST Inputs'!$G$41*I$26))</f>
        <v>-13871.999999999998</v>
      </c>
      <c r="J33" s="71">
        <f>IF('CREST Inputs'!$G$30="simple",0,IF(J$2&gt;'CREST Inputs'!$G$15,0,-'CREST Inputs'!$G$41*J$26))</f>
        <v>-14149.439999999997</v>
      </c>
      <c r="K33" s="71">
        <f>IF('CREST Inputs'!$G$30="simple",0,IF(K$2&gt;'CREST Inputs'!$G$15,0,-'CREST Inputs'!$G$41*K$26))</f>
        <v>-14432.428799999998</v>
      </c>
      <c r="L33" s="71">
        <f>IF('CREST Inputs'!$G$30="simple",0,IF(L$2&gt;'CREST Inputs'!$G$15,0,-'CREST Inputs'!$G$41*L$26))</f>
        <v>-14721.077376</v>
      </c>
      <c r="M33" s="71">
        <f>IF('CREST Inputs'!$G$30="simple",0,IF(M$2&gt;'CREST Inputs'!$G$15,0,-'CREST Inputs'!$G$41*M$26))</f>
        <v>-15015.49892352</v>
      </c>
      <c r="N33" s="71">
        <f>IF('CREST Inputs'!$G$30="simple",0,IF(N$2&gt;'CREST Inputs'!$G$15,0,-'CREST Inputs'!$G$41*N$26))</f>
        <v>-15315.8089019904</v>
      </c>
      <c r="O33" s="71">
        <f>IF('CREST Inputs'!$G$30="simple",0,IF(O$2&gt;'CREST Inputs'!$G$15,0,-'CREST Inputs'!$G$41*O$26))</f>
        <v>-15622.125080030208</v>
      </c>
      <c r="P33" s="71">
        <f>IF('CREST Inputs'!$G$30="simple",0,IF(P$2&gt;'CREST Inputs'!$G$15,0,-'CREST Inputs'!$G$41*P$26))</f>
        <v>-15934.567581630812</v>
      </c>
      <c r="Q33" s="71">
        <f>IF('CREST Inputs'!$G$30="simple",0,IF(Q$2&gt;'CREST Inputs'!$G$15,0,-'CREST Inputs'!$G$41*Q$26))</f>
        <v>-16253.258933263429</v>
      </c>
      <c r="R33" s="71">
        <f>IF('CREST Inputs'!$G$30="simple",0,IF(R$2&gt;'CREST Inputs'!$G$15,0,-'CREST Inputs'!$G$41*R$26))</f>
        <v>-16578.324111928698</v>
      </c>
      <c r="S33" s="71">
        <f>IF('CREST Inputs'!$G$30="simple",0,IF(S$2&gt;'CREST Inputs'!$G$15,0,-'CREST Inputs'!$G$41*S$26))</f>
        <v>-16909.89059416727</v>
      </c>
      <c r="T33" s="71">
        <f>IF('CREST Inputs'!$G$30="simple",0,IF(T$2&gt;'CREST Inputs'!$G$15,0,-'CREST Inputs'!$G$41*T$26))</f>
        <v>-17248.088406050614</v>
      </c>
      <c r="U33" s="71">
        <f>IF('CREST Inputs'!$G$30="simple",0,IF(U$2&gt;'CREST Inputs'!$G$15,0,-'CREST Inputs'!$G$41*U$26))</f>
        <v>-17593.05017417163</v>
      </c>
      <c r="V33" s="71">
        <f>IF('CREST Inputs'!$G$30="simple",0,IF(V$2&gt;'CREST Inputs'!$G$15,0,-'CREST Inputs'!$G$41*V$26))</f>
        <v>-17944.911177655064</v>
      </c>
      <c r="W33" s="71">
        <f>IF('CREST Inputs'!$G$30="simple",0,IF(W$2&gt;'CREST Inputs'!$G$15,0,-'CREST Inputs'!$G$41*W$26))</f>
        <v>-18303.809401208164</v>
      </c>
      <c r="X33" s="71">
        <f>IF('CREST Inputs'!$G$30="simple",0,IF(X$2&gt;'CREST Inputs'!$G$15,0,-'CREST Inputs'!$G$41*X$26))</f>
        <v>-18669.88558923233</v>
      </c>
      <c r="Y33" s="71">
        <f>IF('CREST Inputs'!$G$30="simple",0,IF(Y$2&gt;'CREST Inputs'!$G$15,0,-'CREST Inputs'!$G$41*Y$26))</f>
        <v>-19043.283301016978</v>
      </c>
      <c r="Z33" s="71">
        <f>IF('CREST Inputs'!$G$30="simple",0,IF(Z$2&gt;'CREST Inputs'!$G$15,0,-'CREST Inputs'!$G$41*Z$26))</f>
        <v>-19424.148967037316</v>
      </c>
      <c r="AA33" s="71">
        <f>IF('CREST Inputs'!$G$30="simple",0,IF(AA$2&gt;'CREST Inputs'!$G$15,0,-'CREST Inputs'!$G$41*AA$26))</f>
        <v>-19812.631946378064</v>
      </c>
      <c r="AB33" s="71">
        <f>IF('CREST Inputs'!$G$30="simple",0,IF(AB$2&gt;'CREST Inputs'!$G$15,0,-'CREST Inputs'!$G$41*AB$26))</f>
        <v>-20208.884585305626</v>
      </c>
      <c r="AC33" s="71">
        <f>IF('CREST Inputs'!$G$30="simple",0,IF(AC$2&gt;'CREST Inputs'!$G$15,0,-'CREST Inputs'!$G$41*AC$26))</f>
        <v>-20613.06227701174</v>
      </c>
      <c r="AD33" s="71">
        <f>IF('CREST Inputs'!$G$30="simple",0,IF(AD$2&gt;'CREST Inputs'!$G$15,0,-'CREST Inputs'!$G$41*AD$26))</f>
        <v>-21025.323522551975</v>
      </c>
      <c r="AE33" s="71">
        <f>IF('CREST Inputs'!$G$30="simple",0,IF(AE$2&gt;'CREST Inputs'!$G$15,0,-'CREST Inputs'!$G$41*AE$26))</f>
        <v>-21445.82999300301</v>
      </c>
      <c r="AF33" s="71">
        <f>IF('CREST Inputs'!$G$30="simple",0,IF(AF$2&gt;'CREST Inputs'!$G$15,0,-'CREST Inputs'!$G$41*AF$26))</f>
        <v>0</v>
      </c>
      <c r="AG33" s="71">
        <f>IF('CREST Inputs'!$G$30="simple",0,IF(AG$2&gt;'CREST Inputs'!$G$15,0,-'CREST Inputs'!$G$41*AG$26))</f>
        <v>0</v>
      </c>
      <c r="AH33" s="71">
        <f>IF('CREST Inputs'!$G$30="simple",0,IF(AH$2&gt;'CREST Inputs'!$G$15,0,-'CREST Inputs'!$G$41*AH$26))</f>
        <v>0</v>
      </c>
      <c r="AI33" s="71">
        <f>IF('CREST Inputs'!$G$30="simple",0,IF(AI$2&gt;'CREST Inputs'!$G$15,0,-'CREST Inputs'!$G$41*AI$26))</f>
        <v>0</v>
      </c>
      <c r="AJ33" s="71">
        <f>IF('CREST Inputs'!$G$30="simple",0,IF(AJ$2&gt;'CREST Inputs'!$G$15,0,-'CREST Inputs'!$G$41*AJ$26))</f>
        <v>0</v>
      </c>
    </row>
    <row r="34" spans="2:36" s="27" customFormat="1" ht="15">
      <c r="B34" s="38" t="s">
        <v>100</v>
      </c>
      <c r="C34" s="38"/>
      <c r="D34" s="38"/>
      <c r="E34" s="67" t="s">
        <v>0</v>
      </c>
      <c r="F34" s="38"/>
      <c r="G34" s="52">
        <f>-IF('CREST Inputs'!$G$30="simple",0,IF(G$2&gt;'CREST Inputs'!$G$15,0,'CREST Inputs'!$G$42*(G$15+G$17+G$19+G$21)))</f>
        <v>0</v>
      </c>
      <c r="H34" s="52">
        <f>-IF('CREST Inputs'!$G$30="simple",0,IF(H$2&gt;'CREST Inputs'!$G$15,0,'CREST Inputs'!$G$42*(H$15+H$17+H$19+H$21)))</f>
        <v>0</v>
      </c>
      <c r="I34" s="52">
        <f>-IF('CREST Inputs'!$G$30="simple",0,IF(I$2&gt;'CREST Inputs'!$G$15,0,'CREST Inputs'!$G$42*(I$15+I$17+I$19+I$21)))</f>
        <v>0</v>
      </c>
      <c r="J34" s="52">
        <f>-IF('CREST Inputs'!$G$30="simple",0,IF(J$2&gt;'CREST Inputs'!$G$15,0,'CREST Inputs'!$G$42*(J$15+J$17+J$19+J$21)))</f>
        <v>0</v>
      </c>
      <c r="K34" s="52">
        <f>-IF('CREST Inputs'!$G$30="simple",0,IF(K$2&gt;'CREST Inputs'!$G$15,0,'CREST Inputs'!$G$42*(K$15+K$17+K$19+K$21)))</f>
        <v>0</v>
      </c>
      <c r="L34" s="52">
        <f>-IF('CREST Inputs'!$G$30="simple",0,IF(L$2&gt;'CREST Inputs'!$G$15,0,'CREST Inputs'!$G$42*(L$15+L$17+L$19+L$21)))</f>
        <v>0</v>
      </c>
      <c r="M34" s="52">
        <f>-IF('CREST Inputs'!$G$30="simple",0,IF(M$2&gt;'CREST Inputs'!$G$15,0,'CREST Inputs'!$G$42*(M$15+M$17+M$19+M$21)))</f>
        <v>0</v>
      </c>
      <c r="N34" s="52">
        <f>-IF('CREST Inputs'!$G$30="simple",0,IF(N$2&gt;'CREST Inputs'!$G$15,0,'CREST Inputs'!$G$42*(N$15+N$17+N$19+N$21)))</f>
        <v>0</v>
      </c>
      <c r="O34" s="52">
        <f>-IF('CREST Inputs'!$G$30="simple",0,IF(O$2&gt;'CREST Inputs'!$G$15,0,'CREST Inputs'!$G$42*(O$15+O$17+O$19+O$21)))</f>
        <v>0</v>
      </c>
      <c r="P34" s="52">
        <f>-IF('CREST Inputs'!$G$30="simple",0,IF(P$2&gt;'CREST Inputs'!$G$15,0,'CREST Inputs'!$G$42*(P$15+P$17+P$19+P$21)))</f>
        <v>0</v>
      </c>
      <c r="Q34" s="52">
        <f>-IF('CREST Inputs'!$G$30="simple",0,IF(Q$2&gt;'CREST Inputs'!$G$15,0,'CREST Inputs'!$G$42*(Q$15+Q$17+Q$19+Q$21)))</f>
        <v>0</v>
      </c>
      <c r="R34" s="52">
        <f>-IF('CREST Inputs'!$G$30="simple",0,IF(R$2&gt;'CREST Inputs'!$G$15,0,'CREST Inputs'!$G$42*(R$15+R$17+R$19+R$21)))</f>
        <v>0</v>
      </c>
      <c r="S34" s="52">
        <f>-IF('CREST Inputs'!$G$30="simple",0,IF(S$2&gt;'CREST Inputs'!$G$15,0,'CREST Inputs'!$G$42*(S$15+S$17+S$19+S$21)))</f>
        <v>0</v>
      </c>
      <c r="T34" s="52">
        <f>-IF('CREST Inputs'!$G$30="simple",0,IF(T$2&gt;'CREST Inputs'!$G$15,0,'CREST Inputs'!$G$42*(T$15+T$17+T$19+T$21)))</f>
        <v>0</v>
      </c>
      <c r="U34" s="52">
        <f>-IF('CREST Inputs'!$G$30="simple",0,IF(U$2&gt;'CREST Inputs'!$G$15,0,'CREST Inputs'!$G$42*(U$15+U$17+U$19+U$21)))</f>
        <v>0</v>
      </c>
      <c r="V34" s="52">
        <f>-IF('CREST Inputs'!$G$30="simple",0,IF(V$2&gt;'CREST Inputs'!$G$15,0,'CREST Inputs'!$G$42*(V$15+V$17+V$19+V$21)))</f>
        <v>0</v>
      </c>
      <c r="W34" s="52">
        <f>-IF('CREST Inputs'!$G$30="simple",0,IF(W$2&gt;'CREST Inputs'!$G$15,0,'CREST Inputs'!$G$42*(W$15+W$17+W$19+W$21)))</f>
        <v>0</v>
      </c>
      <c r="X34" s="52">
        <f>-IF('CREST Inputs'!$G$30="simple",0,IF(X$2&gt;'CREST Inputs'!$G$15,0,'CREST Inputs'!$G$42*(X$15+X$17+X$19+X$21)))</f>
        <v>0</v>
      </c>
      <c r="Y34" s="52">
        <f>-IF('CREST Inputs'!$G$30="simple",0,IF(Y$2&gt;'CREST Inputs'!$G$15,0,'CREST Inputs'!$G$42*(Y$15+Y$17+Y$19+Y$21)))</f>
        <v>0</v>
      </c>
      <c r="Z34" s="52">
        <f>-IF('CREST Inputs'!$G$30="simple",0,IF(Z$2&gt;'CREST Inputs'!$G$15,0,'CREST Inputs'!$G$42*(Z$15+Z$17+Z$19+Z$21)))</f>
        <v>0</v>
      </c>
      <c r="AA34" s="52">
        <f>-IF('CREST Inputs'!$G$30="simple",0,IF(AA$2&gt;'CREST Inputs'!$G$15,0,'CREST Inputs'!$G$42*(AA$15+AA$17+AA$19+AA$21)))</f>
        <v>0</v>
      </c>
      <c r="AB34" s="52">
        <f>-IF('CREST Inputs'!$G$30="simple",0,IF(AB$2&gt;'CREST Inputs'!$G$15,0,'CREST Inputs'!$G$42*(AB$15+AB$17+AB$19+AB$21)))</f>
        <v>0</v>
      </c>
      <c r="AC34" s="52">
        <f>-IF('CREST Inputs'!$G$30="simple",0,IF(AC$2&gt;'CREST Inputs'!$G$15,0,'CREST Inputs'!$G$42*(AC$15+AC$17+AC$19+AC$21)))</f>
        <v>0</v>
      </c>
      <c r="AD34" s="52">
        <f>-IF('CREST Inputs'!$G$30="simple",0,IF(AD$2&gt;'CREST Inputs'!$G$15,0,'CREST Inputs'!$G$42*(AD$15+AD$17+AD$19+AD$21)))</f>
        <v>0</v>
      </c>
      <c r="AE34" s="52">
        <f>-IF('CREST Inputs'!$G$30="simple",0,IF(AE$2&gt;'CREST Inputs'!$G$15,0,'CREST Inputs'!$G$42*(AE$15+AE$17+AE$19+AE$21)))</f>
        <v>0</v>
      </c>
      <c r="AF34" s="52">
        <f>-IF('CREST Inputs'!$G$30="simple",0,IF(AF$2&gt;'CREST Inputs'!$G$15,0,'CREST Inputs'!$G$42*(AF$15+AF$17+AF$19+AF$21)))</f>
        <v>0</v>
      </c>
      <c r="AG34" s="52">
        <f>-IF('CREST Inputs'!$G$30="simple",0,IF(AG$2&gt;'CREST Inputs'!$G$15,0,'CREST Inputs'!$G$42*(AG$15+AG$17+AG$19+AG$21)))</f>
        <v>0</v>
      </c>
      <c r="AH34" s="52">
        <f>-IF('CREST Inputs'!$G$30="simple",0,IF(AH$2&gt;'CREST Inputs'!$G$15,0,'CREST Inputs'!$G$42*(AH$15+AH$17+AH$19+AH$21)))</f>
        <v>0</v>
      </c>
      <c r="AI34" s="52">
        <f>-IF('CREST Inputs'!$G$30="simple",0,IF(AI$2&gt;'CREST Inputs'!$G$15,0,'CREST Inputs'!$G$42*(AI$15+AI$17+AI$19+AI$21)))</f>
        <v>0</v>
      </c>
      <c r="AJ34" s="52">
        <f>-IF('CREST Inputs'!$G$30="simple",0,IF(AJ$2&gt;'CREST Inputs'!$G$15,0,'CREST Inputs'!$G$42*(AJ$15+AJ$17+AJ$19+AJ$21)))</f>
        <v>0</v>
      </c>
    </row>
    <row r="35" spans="2:36" s="27" customFormat="1" ht="15.75">
      <c r="B35" s="42" t="s">
        <v>103</v>
      </c>
      <c r="C35" s="42"/>
      <c r="D35" s="42"/>
      <c r="E35" s="68" t="s">
        <v>0</v>
      </c>
      <c r="F35" s="32"/>
      <c r="G35" s="43">
        <f>SUM(G28:G34)</f>
        <v>-73546.09251730423</v>
      </c>
      <c r="H35" s="43">
        <f aca="true" t="shared" si="5" ref="H35:AJ35">SUM(H28:H34)</f>
        <v>-74357.01436765032</v>
      </c>
      <c r="I35" s="43">
        <f t="shared" si="5"/>
        <v>-75207.25465500333</v>
      </c>
      <c r="J35" s="43">
        <f t="shared" si="5"/>
        <v>-76096.79124810339</v>
      </c>
      <c r="K35" s="43">
        <f t="shared" si="5"/>
        <v>-77025.62987056546</v>
      </c>
      <c r="L35" s="43">
        <f t="shared" si="5"/>
        <v>-77993.80366756427</v>
      </c>
      <c r="M35" s="43">
        <f t="shared" si="5"/>
        <v>-79001.37279851749</v>
      </c>
      <c r="N35" s="43">
        <f t="shared" si="5"/>
        <v>-80048.42405507372</v>
      </c>
      <c r="O35" s="43">
        <f t="shared" si="5"/>
        <v>-81135.07050374056</v>
      </c>
      <c r="P35" s="43">
        <f t="shared" si="5"/>
        <v>-82261.45115251595</v>
      </c>
      <c r="Q35" s="43">
        <f t="shared" si="5"/>
        <v>-83427.73064091231</v>
      </c>
      <c r="R35" s="43">
        <f t="shared" si="5"/>
        <v>-84634.09895278951</v>
      </c>
      <c r="S35" s="43">
        <f t="shared" si="5"/>
        <v>-85880.77115143718</v>
      </c>
      <c r="T35" s="43">
        <f t="shared" si="5"/>
        <v>-87167.98713637207</v>
      </c>
      <c r="U35" s="43">
        <f t="shared" si="5"/>
        <v>-88496.01142133898</v>
      </c>
      <c r="V35" s="43">
        <f t="shared" si="5"/>
        <v>-89865.13293302685</v>
      </c>
      <c r="W35" s="43">
        <f t="shared" si="5"/>
        <v>-91275.66483003431</v>
      </c>
      <c r="X35" s="43">
        <f t="shared" si="5"/>
        <v>-92727.9443416398</v>
      </c>
      <c r="Y35" s="43">
        <f t="shared" si="5"/>
        <v>-94222.3326259522</v>
      </c>
      <c r="Z35" s="43">
        <f>SUM(Z28:Z34)</f>
        <v>-95759.21464703907</v>
      </c>
      <c r="AA35" s="43">
        <f t="shared" si="5"/>
        <v>-97338.99907064784</v>
      </c>
      <c r="AB35" s="43">
        <f t="shared" si="5"/>
        <v>-98962.11817815539</v>
      </c>
      <c r="AC35" s="43">
        <f t="shared" si="5"/>
        <v>-100629.02779839977</v>
      </c>
      <c r="AD35" s="43">
        <f t="shared" si="5"/>
        <v>-102340.20725706518</v>
      </c>
      <c r="AE35" s="43">
        <f t="shared" si="5"/>
        <v>-104096.1593433095</v>
      </c>
      <c r="AF35" s="43">
        <f t="shared" si="5"/>
        <v>0</v>
      </c>
      <c r="AG35" s="43">
        <f t="shared" si="5"/>
        <v>0</v>
      </c>
      <c r="AH35" s="43">
        <f t="shared" si="5"/>
        <v>0</v>
      </c>
      <c r="AI35" s="43">
        <f t="shared" si="5"/>
        <v>0</v>
      </c>
      <c r="AJ35" s="43">
        <f t="shared" si="5"/>
        <v>0</v>
      </c>
    </row>
    <row r="36" spans="2:36" s="29" customFormat="1" ht="15.75" hidden="1">
      <c r="B36" s="42"/>
      <c r="C36" s="42"/>
      <c r="D36" s="42"/>
      <c r="E36" s="296"/>
      <c r="F36" s="48"/>
      <c r="G36" s="49">
        <f>IF(G35=0,"",G35)</f>
        <v>-73546.09251730423</v>
      </c>
      <c r="H36" s="49">
        <f aca="true" t="shared" si="6" ref="H36:AJ36">IF(H35=0,"",H35)</f>
        <v>-74357.01436765032</v>
      </c>
      <c r="I36" s="49">
        <f t="shared" si="6"/>
        <v>-75207.25465500333</v>
      </c>
      <c r="J36" s="49">
        <f t="shared" si="6"/>
        <v>-76096.79124810339</v>
      </c>
      <c r="K36" s="49">
        <f t="shared" si="6"/>
        <v>-77025.62987056546</v>
      </c>
      <c r="L36" s="49">
        <f t="shared" si="6"/>
        <v>-77993.80366756427</v>
      </c>
      <c r="M36" s="49">
        <f t="shared" si="6"/>
        <v>-79001.37279851749</v>
      </c>
      <c r="N36" s="49">
        <f t="shared" si="6"/>
        <v>-80048.42405507372</v>
      </c>
      <c r="O36" s="49">
        <f t="shared" si="6"/>
        <v>-81135.07050374056</v>
      </c>
      <c r="P36" s="49">
        <f t="shared" si="6"/>
        <v>-82261.45115251595</v>
      </c>
      <c r="Q36" s="49">
        <f t="shared" si="6"/>
        <v>-83427.73064091231</v>
      </c>
      <c r="R36" s="49">
        <f t="shared" si="6"/>
        <v>-84634.09895278951</v>
      </c>
      <c r="S36" s="49">
        <f t="shared" si="6"/>
        <v>-85880.77115143718</v>
      </c>
      <c r="T36" s="49">
        <f t="shared" si="6"/>
        <v>-87167.98713637207</v>
      </c>
      <c r="U36" s="49">
        <f t="shared" si="6"/>
        <v>-88496.01142133898</v>
      </c>
      <c r="V36" s="49">
        <f t="shared" si="6"/>
        <v>-89865.13293302685</v>
      </c>
      <c r="W36" s="49">
        <f t="shared" si="6"/>
        <v>-91275.66483003431</v>
      </c>
      <c r="X36" s="49">
        <f t="shared" si="6"/>
        <v>-92727.9443416398</v>
      </c>
      <c r="Y36" s="49">
        <f t="shared" si="6"/>
        <v>-94222.3326259522</v>
      </c>
      <c r="Z36" s="49">
        <f t="shared" si="6"/>
        <v>-95759.21464703907</v>
      </c>
      <c r="AA36" s="49">
        <f t="shared" si="6"/>
        <v>-97338.99907064784</v>
      </c>
      <c r="AB36" s="49">
        <f t="shared" si="6"/>
        <v>-98962.11817815539</v>
      </c>
      <c r="AC36" s="49">
        <f t="shared" si="6"/>
        <v>-100629.02779839977</v>
      </c>
      <c r="AD36" s="49">
        <f t="shared" si="6"/>
        <v>-102340.20725706518</v>
      </c>
      <c r="AE36" s="49">
        <f t="shared" si="6"/>
        <v>-104096.1593433095</v>
      </c>
      <c r="AF36" s="49">
        <f t="shared" si="6"/>
      </c>
      <c r="AG36" s="49">
        <f t="shared" si="6"/>
      </c>
      <c r="AH36" s="49">
        <f t="shared" si="6"/>
      </c>
      <c r="AI36" s="49">
        <f t="shared" si="6"/>
      </c>
      <c r="AJ36" s="49">
        <f t="shared" si="6"/>
      </c>
    </row>
    <row r="37" spans="2:36" s="27" customFormat="1" ht="15">
      <c r="B37" s="44" t="s">
        <v>294</v>
      </c>
      <c r="C37" s="44"/>
      <c r="D37" s="44"/>
      <c r="E37" s="66" t="s">
        <v>50</v>
      </c>
      <c r="F37" s="45"/>
      <c r="G37" s="455">
        <f>IF(G$2&gt;'CREST Inputs'!$G$15,0,G35*100/G5)</f>
        <v>-2.031211127853078</v>
      </c>
      <c r="H37" s="455">
        <f>IF(H$2&gt;'CREST Inputs'!$G$15,0,H35*100/H5)</f>
        <v>-2.0639269693487967</v>
      </c>
      <c r="I37" s="455">
        <f>IF(I$2&gt;'CREST Inputs'!$G$15,0,I35*100/I5)</f>
        <v>-2.0980171670824377</v>
      </c>
      <c r="J37" s="455">
        <f>IF(J$2&gt;'CREST Inputs'!$G$15,0,J35*100/J5)</f>
        <v>-2.133499598843791</v>
      </c>
      <c r="K37" s="455">
        <f>IF(K$2&gt;'CREST Inputs'!$G$15,0,K35*100/K5)</f>
        <v>-2.1703930937371863</v>
      </c>
      <c r="L37" s="455">
        <f>IF(L$2&gt;'CREST Inputs'!$G$15,0,L35*100/L5)</f>
        <v>-2.2087174409444503</v>
      </c>
      <c r="M37" s="455">
        <f>IF(M$2&gt;'CREST Inputs'!$G$15,0,M35*100/M5)</f>
        <v>-2.248493399164514</v>
      </c>
      <c r="N37" s="455">
        <f>IF(N$2&gt;'CREST Inputs'!$G$15,0,N35*100/N5)</f>
        <v>-2.2897427067328913</v>
      </c>
      <c r="O37" s="455">
        <f>IF(O$2&gt;'CREST Inputs'!$G$15,0,O35*100/O5)</f>
        <v>-2.33248809242477</v>
      </c>
      <c r="P37" s="455">
        <f>IF(P$2&gt;'CREST Inputs'!$G$15,0,P35*100/P5)</f>
        <v>-2.3767532869459544</v>
      </c>
      <c r="Q37" s="455">
        <f>IF(Q$2&gt;'CREST Inputs'!$G$15,0,Q35*100/Q5)</f>
        <v>-2.422563035116365</v>
      </c>
      <c r="R37" s="455">
        <f>IF(R$2&gt;'CREST Inputs'!$G$15,0,R35*100/R5)</f>
        <v>-2.4699431087513473</v>
      </c>
      <c r="S37" s="455">
        <f>IF(S$2&gt;'CREST Inputs'!$G$15,0,S35*100/S5)</f>
        <v>-2.518920320246487</v>
      </c>
      <c r="T37" s="455">
        <f>IF(T$2&gt;'CREST Inputs'!$G$15,0,T35*100/T5)</f>
        <v>-2.569522536872179</v>
      </c>
      <c r="U37" s="455">
        <f>IF(U$2&gt;'CREST Inputs'!$G$15,0,U35*100/U5)</f>
        <v>-2.6217786957846543</v>
      </c>
      <c r="V37" s="455">
        <f>IF(V$2&gt;'CREST Inputs'!$G$15,0,V35*100/V5)</f>
        <v>-2.675718819760704</v>
      </c>
      <c r="W37" s="455">
        <f>IF(W$2&gt;'CREST Inputs'!$G$15,0,W35*100/W5)</f>
        <v>-2.731374033663833</v>
      </c>
      <c r="X37" s="455">
        <f>IF(X$2&gt;'CREST Inputs'!$G$15,0,X35*100/X5)</f>
        <v>-2.7887765816500942</v>
      </c>
      <c r="Y37" s="455">
        <f>IF(Y$2&gt;'CREST Inputs'!$G$15,0,Y35*100/Y5)</f>
        <v>-2.8479598451223436</v>
      </c>
      <c r="Z37" s="455">
        <f>IF(Z$2&gt;'CREST Inputs'!$G$15,0,Z35*100/Z5)</f>
        <v>-2.908958361442211</v>
      </c>
      <c r="AA37" s="455">
        <f>IF(AA$2&gt;'CREST Inputs'!$G$15,0,AA35*100/AA5)</f>
        <v>-2.9718078434095636</v>
      </c>
      <c r="AB37" s="455">
        <f>IF(AB$2&gt;'CREST Inputs'!$G$15,0,AB35*100/AB5)</f>
        <v>-3.036545199519785</v>
      </c>
      <c r="AC37" s="455">
        <f>IF(AC$2&gt;'CREST Inputs'!$G$15,0,AC35*100/AC5)</f>
        <v>-3.1032085550097275</v>
      </c>
      <c r="AD37" s="455">
        <f>IF(AD$2&gt;'CREST Inputs'!$G$15,0,AD35*100/AD5)</f>
        <v>-3.1718372737037077</v>
      </c>
      <c r="AE37" s="455">
        <f>IF(AE$2&gt;'CREST Inputs'!$G$15,0,AE35*100/AE5)</f>
        <v>-3.242471980671474</v>
      </c>
      <c r="AF37" s="455">
        <f>IF(AF$2&gt;'CREST Inputs'!$G$15,0,AF35*100/AF5)</f>
        <v>0</v>
      </c>
      <c r="AG37" s="455">
        <f>IF(AG$2&gt;'CREST Inputs'!$G$15,0,AG35*100/AG5)</f>
        <v>0</v>
      </c>
      <c r="AH37" s="455">
        <f>IF(AH$2&gt;'CREST Inputs'!$G$15,0,AH35*100/AH5)</f>
        <v>0</v>
      </c>
      <c r="AI37" s="455">
        <f>IF(AI$2&gt;'CREST Inputs'!$G$15,0,AI35*100/AI5)</f>
        <v>0</v>
      </c>
      <c r="AJ37" s="455">
        <f>IF(AJ$2&gt;'CREST Inputs'!$G$15,0,AJ35*100/AJ5)</f>
        <v>0</v>
      </c>
    </row>
    <row r="38" s="27" customFormat="1" ht="15">
      <c r="E38" s="66"/>
    </row>
    <row r="39" spans="2:36" s="27" customFormat="1" ht="15.75">
      <c r="B39" s="32" t="s">
        <v>104</v>
      </c>
      <c r="C39" s="32"/>
      <c r="D39" s="32"/>
      <c r="E39" s="64" t="s">
        <v>0</v>
      </c>
      <c r="F39" s="29"/>
      <c r="G39" s="43">
        <f aca="true" t="shared" si="7" ref="G39:AJ39">G23+G35</f>
        <v>428479.1281931643</v>
      </c>
      <c r="H39" s="43">
        <f t="shared" si="7"/>
        <v>425949.2767131886</v>
      </c>
      <c r="I39" s="43">
        <f t="shared" si="7"/>
        <v>423392.55329620605</v>
      </c>
      <c r="J39" s="43">
        <f t="shared" si="7"/>
        <v>420808.9178409763</v>
      </c>
      <c r="K39" s="43">
        <f t="shared" si="7"/>
        <v>418198.30270254705</v>
      </c>
      <c r="L39" s="43">
        <f t="shared" si="7"/>
        <v>414105.2946224039</v>
      </c>
      <c r="M39" s="43">
        <f t="shared" si="7"/>
        <v>409985.09063906595</v>
      </c>
      <c r="N39" s="43">
        <f t="shared" si="7"/>
        <v>407292.8614653395</v>
      </c>
      <c r="O39" s="43">
        <f t="shared" si="7"/>
        <v>404573.11484094016</v>
      </c>
      <c r="P39" s="43">
        <f t="shared" si="7"/>
        <v>397973.799517311</v>
      </c>
      <c r="Q39" s="43">
        <f t="shared" si="7"/>
        <v>390961.3574348424</v>
      </c>
      <c r="R39" s="43">
        <f>R23+R35</f>
        <v>387387.3906751968</v>
      </c>
      <c r="S39" s="43">
        <f t="shared" si="7"/>
        <v>383784.95802101947</v>
      </c>
      <c r="T39" s="43">
        <f t="shared" si="7"/>
        <v>380153.7603828326</v>
      </c>
      <c r="U39" s="43">
        <f t="shared" si="7"/>
        <v>376493.47435288003</v>
      </c>
      <c r="V39" s="43">
        <f t="shared" si="7"/>
        <v>-11841.209279568197</v>
      </c>
      <c r="W39" s="43">
        <f t="shared" si="7"/>
        <v>-12102.138752117899</v>
      </c>
      <c r="X39" s="43">
        <f t="shared" si="7"/>
        <v>-12387.686763141217</v>
      </c>
      <c r="Y39" s="43">
        <f t="shared" si="7"/>
        <v>-12697.959247512772</v>
      </c>
      <c r="Z39" s="43">
        <f t="shared" si="7"/>
        <v>-13033.082143239677</v>
      </c>
      <c r="AA39" s="43">
        <f t="shared" si="7"/>
        <v>-13393.2012305206</v>
      </c>
      <c r="AB39" s="43">
        <f t="shared" si="7"/>
        <v>-13778.481988189029</v>
      </c>
      <c r="AC39" s="43">
        <f t="shared" si="7"/>
        <v>-14189.109467181697</v>
      </c>
      <c r="AD39" s="43">
        <f t="shared" si="7"/>
        <v>-14625.288180690739</v>
      </c>
      <c r="AE39" s="43">
        <f t="shared" si="7"/>
        <v>-15521.941271708682</v>
      </c>
      <c r="AF39" s="43">
        <f t="shared" si="7"/>
        <v>1.2369127944111825E-12</v>
      </c>
      <c r="AG39" s="43">
        <f t="shared" si="7"/>
        <v>0</v>
      </c>
      <c r="AH39" s="43">
        <f t="shared" si="7"/>
        <v>0</v>
      </c>
      <c r="AI39" s="43">
        <f t="shared" si="7"/>
        <v>0</v>
      </c>
      <c r="AJ39" s="43">
        <f t="shared" si="7"/>
        <v>0</v>
      </c>
    </row>
    <row r="40" spans="2:36" s="27" customFormat="1" ht="15.75">
      <c r="B40" s="32"/>
      <c r="C40" s="32"/>
      <c r="D40" s="32"/>
      <c r="E40" s="64" t="s">
        <v>210</v>
      </c>
      <c r="F40" s="69" t="s">
        <v>162</v>
      </c>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c r="AJ40" s="43"/>
    </row>
    <row r="41" spans="2:36" s="29" customFormat="1" ht="15">
      <c r="B41" s="46" t="s">
        <v>134</v>
      </c>
      <c r="C41" s="46"/>
      <c r="D41" s="46"/>
      <c r="E41" s="47">
        <f>IF(OR('CREST Inputs'!$G$51=0,'CREST Inputs'!$G$51=""),"N/A",AVERAGE(G41:AJ41))</f>
        <v>1.322209251120046</v>
      </c>
      <c r="F41" s="47">
        <f>IF(OR('CREST Inputs'!$G$51=0,'CREST Inputs'!$G$51=""),"N/A",MIN(G41:AJ41))</f>
        <v>1.3044559791010462</v>
      </c>
      <c r="G41" s="47">
        <f>IF(OR('CREST Inputs'!$G$51=0,'CREST Inputs'!$G$51=""),"N/A",IF(G$2&gt;'CREST Inputs'!$G$52,"N/A",(G39+SUM(G47:G48))/-G85))</f>
        <v>1.3397775443778264</v>
      </c>
      <c r="H41" s="47">
        <f>IF(OR('CREST Inputs'!$G$51=0,'CREST Inputs'!$G$51=""),"N/A",IF(H$2&gt;'CREST Inputs'!$G$52,"N/A",(H39+SUM(H47:H48))/-H85))</f>
        <v>1.3310857993159078</v>
      </c>
      <c r="I41" s="47">
        <f>IF(OR('CREST Inputs'!$G$51=0,'CREST Inputs'!$G$51=""),"N/A",IF(I$2&gt;'CREST Inputs'!$G$52,"N/A",(I39+SUM(I47:I48))/-I85))</f>
        <v>1.3223017310375347</v>
      </c>
      <c r="J41" s="47">
        <f>IF(OR('CREST Inputs'!$G$51=0,'CREST Inputs'!$G$51=""),"N/A",IF(J$2&gt;'CREST Inputs'!$G$52,"N/A",(J39+SUM(J47:J48))/-J85))</f>
        <v>1.313425201767916</v>
      </c>
      <c r="K41" s="47">
        <f>IF(OR('CREST Inputs'!$G$51=0,'CREST Inputs'!$G$51=""),"N/A",IF(K$2&gt;'CREST Inputs'!$G$52,"N/A",(K39+SUM(K47:K48))/-K85))</f>
        <v>1.3044559791010462</v>
      </c>
      <c r="L41" s="47" t="str">
        <f>IF(OR('CREST Inputs'!$G$51=0,'CREST Inputs'!$G$51=""),"N/A",IF(L$2&gt;'CREST Inputs'!$G$52,"N/A",(L39+SUM(L47:L48))/-L85))</f>
        <v>N/A</v>
      </c>
      <c r="M41" s="47" t="str">
        <f>IF(OR('CREST Inputs'!$G$51=0,'CREST Inputs'!$G$51=""),"N/A",IF(M$2&gt;'CREST Inputs'!$G$52,"N/A",(M39+SUM(M47:M48))/-M85))</f>
        <v>N/A</v>
      </c>
      <c r="N41" s="47" t="str">
        <f>IF(OR('CREST Inputs'!$G$51=0,'CREST Inputs'!$G$51=""),"N/A",IF(N$2&gt;'CREST Inputs'!$G$52,"N/A",(N39+SUM(N47:N48))/-N85))</f>
        <v>N/A</v>
      </c>
      <c r="O41" s="47" t="str">
        <f>IF(OR('CREST Inputs'!$G$51=0,'CREST Inputs'!$G$51=""),"N/A",IF(O$2&gt;'CREST Inputs'!$G$52,"N/A",(O39+SUM(O47:O48))/-O85))</f>
        <v>N/A</v>
      </c>
      <c r="P41" s="47" t="str">
        <f>IF(OR('CREST Inputs'!$G$51=0,'CREST Inputs'!$G$51=""),"N/A",IF(P$2&gt;'CREST Inputs'!$G$52,"N/A",(P39+SUM(P47:P48))/-P85))</f>
        <v>N/A</v>
      </c>
      <c r="Q41" s="47" t="str">
        <f>IF(OR('CREST Inputs'!$G$51=0,'CREST Inputs'!$G$51=""),"N/A",IF(Q$2&gt;'CREST Inputs'!$G$52,"N/A",(Q39+SUM(Q47:Q48))/-Q85))</f>
        <v>N/A</v>
      </c>
      <c r="R41" s="47" t="str">
        <f>IF(OR('CREST Inputs'!$G$51=0,'CREST Inputs'!$G$51=""),"N/A",IF(R$2&gt;'CREST Inputs'!$G$52,"N/A",(R39+SUM(R47:R48))/-R85))</f>
        <v>N/A</v>
      </c>
      <c r="S41" s="47" t="str">
        <f>IF(OR('CREST Inputs'!$G$51=0,'CREST Inputs'!$G$51=""),"N/A",IF(S$2&gt;'CREST Inputs'!$G$52,"N/A",(S39+SUM(S47:S48))/-S85))</f>
        <v>N/A</v>
      </c>
      <c r="T41" s="47" t="str">
        <f>IF(OR('CREST Inputs'!$G$51=0,'CREST Inputs'!$G$51=""),"N/A",IF(T$2&gt;'CREST Inputs'!$G$52,"N/A",(T39+SUM(T47:T48))/-T85))</f>
        <v>N/A</v>
      </c>
      <c r="U41" s="47" t="str">
        <f>IF(OR('CREST Inputs'!$G$51=0,'CREST Inputs'!$G$51=""),"N/A",IF(U$2&gt;'CREST Inputs'!$G$52,"N/A",(U39+SUM(U47:U48))/-U85))</f>
        <v>N/A</v>
      </c>
      <c r="V41" s="47" t="str">
        <f>IF(OR('CREST Inputs'!$G$51=0,'CREST Inputs'!$G$51=""),"N/A",IF(V$2&gt;'CREST Inputs'!$G$52,"N/A",(V39+SUM(V47:V48))/-V85))</f>
        <v>N/A</v>
      </c>
      <c r="W41" s="47" t="str">
        <f>IF(OR('CREST Inputs'!$G$51=0,'CREST Inputs'!$G$51=""),"N/A",IF(W$2&gt;'CREST Inputs'!$G$52,"N/A",(W39+SUM(W47:W48))/-W85))</f>
        <v>N/A</v>
      </c>
      <c r="X41" s="47" t="str">
        <f>IF(OR('CREST Inputs'!$G$51=0,'CREST Inputs'!$G$51=""),"N/A",IF(X$2&gt;'CREST Inputs'!$G$52,"N/A",(X39+SUM(X47:X48))/-X85))</f>
        <v>N/A</v>
      </c>
      <c r="Y41" s="47" t="str">
        <f>IF(OR('CREST Inputs'!$G$51=0,'CREST Inputs'!$G$51=""),"N/A",IF(Y$2&gt;'CREST Inputs'!$G$52,"N/A",(Y39+SUM(Y47:Y48))/-Y85))</f>
        <v>N/A</v>
      </c>
      <c r="Z41" s="47" t="str">
        <f>IF(OR('CREST Inputs'!$G$51=0,'CREST Inputs'!$G$51=""),"N/A",IF(Z$2&gt;'CREST Inputs'!$G$52,"N/A",(Z39+SUM(Z47:Z48))/-Z85))</f>
        <v>N/A</v>
      </c>
      <c r="AA41" s="47" t="str">
        <f>IF(OR('CREST Inputs'!$G$51=0,'CREST Inputs'!$G$51=""),"N/A",IF(AA$2&gt;'CREST Inputs'!$G$52,"N/A",(AA39+SUM(AA47:AA48))/-AA85))</f>
        <v>N/A</v>
      </c>
      <c r="AB41" s="47" t="str">
        <f>IF(OR('CREST Inputs'!$G$51=0,'CREST Inputs'!$G$51=""),"N/A",IF(AB$2&gt;'CREST Inputs'!$G$52,"N/A",(AB39+SUM(AB47:AB48))/-AB85))</f>
        <v>N/A</v>
      </c>
      <c r="AC41" s="47" t="str">
        <f>IF(OR('CREST Inputs'!$G$51=0,'CREST Inputs'!$G$51=""),"N/A",IF(AC$2&gt;'CREST Inputs'!$G$52,"N/A",(AC39+SUM(AC47:AC48))/-AC85))</f>
        <v>N/A</v>
      </c>
      <c r="AD41" s="47" t="str">
        <f>IF(OR('CREST Inputs'!$G$51=0,'CREST Inputs'!$G$51=""),"N/A",IF(AD$2&gt;'CREST Inputs'!$G$52,"N/A",(AD39+SUM(AD47:AD48))/-AD85))</f>
        <v>N/A</v>
      </c>
      <c r="AE41" s="47" t="str">
        <f>IF(OR('CREST Inputs'!$G$51=0,'CREST Inputs'!$G$51=""),"N/A",IF(AE$2&gt;'CREST Inputs'!$G$52,"N/A",(AE39+SUM(AE47:AE48))/-AE85))</f>
        <v>N/A</v>
      </c>
      <c r="AF41" s="47" t="str">
        <f>IF(OR('CREST Inputs'!$G$51=0,'CREST Inputs'!$G$51=""),"N/A",IF(AF$2&gt;'CREST Inputs'!$G$52,"N/A",(AF39+SUM(AF47:AF48))/-AF85))</f>
        <v>N/A</v>
      </c>
      <c r="AG41" s="47" t="str">
        <f>IF(OR('CREST Inputs'!$G$51=0,'CREST Inputs'!$G$51=""),"N/A",IF(AG$2&gt;'CREST Inputs'!$G$52,"N/A",(AG39+SUM(AG47:AG48))/-AG85))</f>
        <v>N/A</v>
      </c>
      <c r="AH41" s="47" t="str">
        <f>IF(OR('CREST Inputs'!$G$51=0,'CREST Inputs'!$G$51=""),"N/A",IF(AH$2&gt;'CREST Inputs'!$G$52,"N/A",(AH39+SUM(AH47:AH48))/-AH85))</f>
        <v>N/A</v>
      </c>
      <c r="AI41" s="47" t="str">
        <f>IF(OR('CREST Inputs'!$G$51=0,'CREST Inputs'!$G$51=""),"N/A",IF(AI$2&gt;'CREST Inputs'!$G$52,"N/A",(AI39+SUM(AI47:AI48))/-AI85))</f>
        <v>N/A</v>
      </c>
      <c r="AJ41" s="47" t="str">
        <f>IF(OR('CREST Inputs'!$G$51=0,'CREST Inputs'!$G$51=""),"N/A",IF(AJ$2&gt;'CREST Inputs'!$G$52,"N/A",(AJ39+SUM(AJ47:AJ48))/-AJ85))</f>
        <v>N/A</v>
      </c>
    </row>
    <row r="42" spans="2:36" s="29" customFormat="1" ht="15">
      <c r="B42" s="46" t="s">
        <v>235</v>
      </c>
      <c r="C42" s="46"/>
      <c r="D42" s="46"/>
      <c r="E42" s="69"/>
      <c r="F42" s="47"/>
      <c r="G42" s="226">
        <f>IF(G41=$F$41,G2,"")</f>
      </c>
      <c r="H42" s="226">
        <f aca="true" t="shared" si="8" ref="H42:AJ42">IF(H41=$F$41,H2,"")</f>
      </c>
      <c r="I42" s="226">
        <f t="shared" si="8"/>
      </c>
      <c r="J42" s="226">
        <f t="shared" si="8"/>
      </c>
      <c r="K42" s="226">
        <f t="shared" si="8"/>
        <v>5</v>
      </c>
      <c r="L42" s="226">
        <f t="shared" si="8"/>
      </c>
      <c r="M42" s="226">
        <f t="shared" si="8"/>
      </c>
      <c r="N42" s="226">
        <f t="shared" si="8"/>
      </c>
      <c r="O42" s="226">
        <f t="shared" si="8"/>
      </c>
      <c r="P42" s="226">
        <f t="shared" si="8"/>
      </c>
      <c r="Q42" s="226">
        <f t="shared" si="8"/>
      </c>
      <c r="R42" s="226">
        <f t="shared" si="8"/>
      </c>
      <c r="S42" s="226">
        <f t="shared" si="8"/>
      </c>
      <c r="T42" s="226">
        <f t="shared" si="8"/>
      </c>
      <c r="U42" s="226">
        <f t="shared" si="8"/>
      </c>
      <c r="V42" s="226">
        <f t="shared" si="8"/>
      </c>
      <c r="W42" s="226">
        <f t="shared" si="8"/>
      </c>
      <c r="X42" s="226">
        <f t="shared" si="8"/>
      </c>
      <c r="Y42" s="226">
        <f t="shared" si="8"/>
      </c>
      <c r="Z42" s="226">
        <f t="shared" si="8"/>
      </c>
      <c r="AA42" s="226">
        <f t="shared" si="8"/>
      </c>
      <c r="AB42" s="226">
        <f t="shared" si="8"/>
      </c>
      <c r="AC42" s="226">
        <f t="shared" si="8"/>
      </c>
      <c r="AD42" s="226">
        <f t="shared" si="8"/>
      </c>
      <c r="AE42" s="226">
        <f t="shared" si="8"/>
      </c>
      <c r="AF42" s="226">
        <f t="shared" si="8"/>
      </c>
      <c r="AG42" s="226">
        <f t="shared" si="8"/>
      </c>
      <c r="AH42" s="226">
        <f t="shared" si="8"/>
      </c>
      <c r="AI42" s="226">
        <f t="shared" si="8"/>
      </c>
      <c r="AJ42" s="226">
        <f t="shared" si="8"/>
      </c>
    </row>
    <row r="43" spans="2:36" s="27" customFormat="1" ht="15">
      <c r="B43" s="37" t="s">
        <v>109</v>
      </c>
      <c r="C43" s="37"/>
      <c r="D43" s="37"/>
      <c r="E43" s="67"/>
      <c r="F43" s="37"/>
      <c r="G43" s="41">
        <f>G86</f>
        <v>-73563.97143169453</v>
      </c>
      <c r="H43" s="41">
        <f aca="true" t="shared" si="9" ref="H43:AJ43">H86</f>
        <v>-60513.98769828905</v>
      </c>
      <c r="I43" s="41">
        <f t="shared" si="9"/>
        <v>-46681.00494087923</v>
      </c>
      <c r="J43" s="41">
        <f t="shared" si="9"/>
        <v>-32018.04321802485</v>
      </c>
      <c r="K43" s="41">
        <f t="shared" si="9"/>
        <v>-16475.303791799193</v>
      </c>
      <c r="L43" s="41">
        <f t="shared" si="9"/>
        <v>0</v>
      </c>
      <c r="M43" s="41">
        <f t="shared" si="9"/>
        <v>0</v>
      </c>
      <c r="N43" s="41">
        <f t="shared" si="9"/>
        <v>0</v>
      </c>
      <c r="O43" s="41">
        <f t="shared" si="9"/>
        <v>0</v>
      </c>
      <c r="P43" s="41">
        <f t="shared" si="9"/>
        <v>0</v>
      </c>
      <c r="Q43" s="41">
        <f t="shared" si="9"/>
        <v>0</v>
      </c>
      <c r="R43" s="41">
        <f t="shared" si="9"/>
        <v>0</v>
      </c>
      <c r="S43" s="41">
        <f t="shared" si="9"/>
        <v>0</v>
      </c>
      <c r="T43" s="41">
        <f t="shared" si="9"/>
        <v>0</v>
      </c>
      <c r="U43" s="41">
        <f t="shared" si="9"/>
        <v>0</v>
      </c>
      <c r="V43" s="41">
        <f t="shared" si="9"/>
        <v>0</v>
      </c>
      <c r="W43" s="41">
        <f t="shared" si="9"/>
        <v>0</v>
      </c>
      <c r="X43" s="41">
        <f t="shared" si="9"/>
        <v>0</v>
      </c>
      <c r="Y43" s="41">
        <f t="shared" si="9"/>
        <v>0</v>
      </c>
      <c r="Z43" s="41">
        <f t="shared" si="9"/>
        <v>0</v>
      </c>
      <c r="AA43" s="41">
        <f t="shared" si="9"/>
        <v>0</v>
      </c>
      <c r="AB43" s="41">
        <f t="shared" si="9"/>
        <v>0</v>
      </c>
      <c r="AC43" s="41">
        <f t="shared" si="9"/>
        <v>0</v>
      </c>
      <c r="AD43" s="41">
        <f t="shared" si="9"/>
        <v>0</v>
      </c>
      <c r="AE43" s="41">
        <f t="shared" si="9"/>
        <v>0</v>
      </c>
      <c r="AF43" s="41">
        <f t="shared" si="9"/>
        <v>0</v>
      </c>
      <c r="AG43" s="41">
        <f t="shared" si="9"/>
        <v>0</v>
      </c>
      <c r="AH43" s="41">
        <f t="shared" si="9"/>
        <v>0</v>
      </c>
      <c r="AI43" s="41">
        <f t="shared" si="9"/>
        <v>0</v>
      </c>
      <c r="AJ43" s="41">
        <f t="shared" si="9"/>
        <v>0</v>
      </c>
    </row>
    <row r="44" spans="2:36" s="27" customFormat="1" ht="15.75">
      <c r="B44" s="48" t="s">
        <v>61</v>
      </c>
      <c r="C44" s="48"/>
      <c r="D44" s="48"/>
      <c r="E44" s="69"/>
      <c r="F44" s="48"/>
      <c r="G44" s="49">
        <f>G39+G43</f>
        <v>354915.1567614698</v>
      </c>
      <c r="H44" s="49">
        <f aca="true" t="shared" si="10" ref="H44:AJ44">H39+H43</f>
        <v>365435.2890148996</v>
      </c>
      <c r="I44" s="49">
        <f t="shared" si="10"/>
        <v>376711.5483553268</v>
      </c>
      <c r="J44" s="49">
        <f t="shared" si="10"/>
        <v>388790.8746229515</v>
      </c>
      <c r="K44" s="49">
        <f t="shared" si="10"/>
        <v>401722.9989107479</v>
      </c>
      <c r="L44" s="49">
        <f t="shared" si="10"/>
        <v>414105.2946224039</v>
      </c>
      <c r="M44" s="49">
        <f t="shared" si="10"/>
        <v>409985.09063906595</v>
      </c>
      <c r="N44" s="49">
        <f t="shared" si="10"/>
        <v>407292.8614653395</v>
      </c>
      <c r="O44" s="49">
        <f t="shared" si="10"/>
        <v>404573.11484094016</v>
      </c>
      <c r="P44" s="49">
        <f t="shared" si="10"/>
        <v>397973.799517311</v>
      </c>
      <c r="Q44" s="49">
        <f t="shared" si="10"/>
        <v>390961.3574348424</v>
      </c>
      <c r="R44" s="49">
        <f t="shared" si="10"/>
        <v>387387.3906751968</v>
      </c>
      <c r="S44" s="49">
        <f t="shared" si="10"/>
        <v>383784.95802101947</v>
      </c>
      <c r="T44" s="49">
        <f t="shared" si="10"/>
        <v>380153.7603828326</v>
      </c>
      <c r="U44" s="49">
        <f t="shared" si="10"/>
        <v>376493.47435288003</v>
      </c>
      <c r="V44" s="49">
        <f t="shared" si="10"/>
        <v>-11841.209279568197</v>
      </c>
      <c r="W44" s="49">
        <f t="shared" si="10"/>
        <v>-12102.138752117899</v>
      </c>
      <c r="X44" s="49">
        <f t="shared" si="10"/>
        <v>-12387.686763141217</v>
      </c>
      <c r="Y44" s="49">
        <f t="shared" si="10"/>
        <v>-12697.959247512772</v>
      </c>
      <c r="Z44" s="49">
        <f t="shared" si="10"/>
        <v>-13033.082143239677</v>
      </c>
      <c r="AA44" s="49">
        <f t="shared" si="10"/>
        <v>-13393.2012305206</v>
      </c>
      <c r="AB44" s="49">
        <f t="shared" si="10"/>
        <v>-13778.481988189029</v>
      </c>
      <c r="AC44" s="49">
        <f t="shared" si="10"/>
        <v>-14189.109467181697</v>
      </c>
      <c r="AD44" s="49">
        <f t="shared" si="10"/>
        <v>-14625.288180690739</v>
      </c>
      <c r="AE44" s="49">
        <f t="shared" si="10"/>
        <v>-15521.941271708682</v>
      </c>
      <c r="AF44" s="49">
        <f t="shared" si="10"/>
        <v>1.2369127944111825E-12</v>
      </c>
      <c r="AG44" s="49">
        <f t="shared" si="10"/>
        <v>0</v>
      </c>
      <c r="AH44" s="49">
        <f t="shared" si="10"/>
        <v>0</v>
      </c>
      <c r="AI44" s="49">
        <f t="shared" si="10"/>
        <v>0</v>
      </c>
      <c r="AJ44" s="49">
        <f t="shared" si="10"/>
        <v>0</v>
      </c>
    </row>
    <row r="45" spans="2:36" s="27" customFormat="1" ht="15">
      <c r="B45" s="29"/>
      <c r="C45" s="29"/>
      <c r="D45" s="29"/>
      <c r="E45" s="69"/>
      <c r="F45" s="29"/>
      <c r="G45" s="29"/>
      <c r="H45" s="29"/>
      <c r="I45" s="29"/>
      <c r="J45" s="29"/>
      <c r="K45" s="29"/>
      <c r="L45" s="29"/>
      <c r="M45" s="29"/>
      <c r="N45" s="29"/>
      <c r="O45" s="29"/>
      <c r="P45" s="29"/>
      <c r="Q45" s="29"/>
      <c r="R45" s="29"/>
      <c r="S45" s="29"/>
      <c r="T45" s="29"/>
      <c r="U45" s="29"/>
      <c r="V45" s="29"/>
      <c r="W45" s="29"/>
      <c r="X45" s="29"/>
      <c r="Y45" s="29"/>
      <c r="Z45" s="29"/>
      <c r="AA45" s="29"/>
      <c r="AB45" s="29"/>
      <c r="AC45" s="29"/>
      <c r="AD45" s="29"/>
      <c r="AE45" s="29"/>
      <c r="AF45" s="29"/>
      <c r="AG45" s="29"/>
      <c r="AH45" s="29"/>
      <c r="AI45" s="29"/>
      <c r="AJ45" s="29"/>
    </row>
    <row r="46" spans="2:36" s="27" customFormat="1" ht="15">
      <c r="B46" s="34" t="s">
        <v>108</v>
      </c>
      <c r="C46" s="34"/>
      <c r="D46" s="34"/>
      <c r="E46" s="64"/>
      <c r="F46" s="34"/>
      <c r="G46" s="40">
        <f>G87</f>
        <v>-217499.7288900913</v>
      </c>
      <c r="H46" s="40">
        <f aca="true" t="shared" si="11" ref="H46:AJ46">H87</f>
        <v>-230549.71262349674</v>
      </c>
      <c r="I46" s="40">
        <f t="shared" si="11"/>
        <v>-244382.69538090655</v>
      </c>
      <c r="J46" s="40">
        <f t="shared" si="11"/>
        <v>-259045.65710376095</v>
      </c>
      <c r="K46" s="40">
        <f t="shared" si="11"/>
        <v>-274588.3965299866</v>
      </c>
      <c r="L46" s="40">
        <f t="shared" si="11"/>
        <v>0</v>
      </c>
      <c r="M46" s="40">
        <f t="shared" si="11"/>
        <v>0</v>
      </c>
      <c r="N46" s="40">
        <f t="shared" si="11"/>
        <v>0</v>
      </c>
      <c r="O46" s="40">
        <f t="shared" si="11"/>
        <v>0</v>
      </c>
      <c r="P46" s="40">
        <f t="shared" si="11"/>
        <v>0</v>
      </c>
      <c r="Q46" s="40">
        <f t="shared" si="11"/>
        <v>0</v>
      </c>
      <c r="R46" s="40">
        <f t="shared" si="11"/>
        <v>0</v>
      </c>
      <c r="S46" s="40">
        <f t="shared" si="11"/>
        <v>0</v>
      </c>
      <c r="T46" s="40">
        <f t="shared" si="11"/>
        <v>0</v>
      </c>
      <c r="U46" s="40">
        <f t="shared" si="11"/>
        <v>0</v>
      </c>
      <c r="V46" s="40">
        <f t="shared" si="11"/>
        <v>0</v>
      </c>
      <c r="W46" s="40">
        <f t="shared" si="11"/>
        <v>0</v>
      </c>
      <c r="X46" s="40">
        <f t="shared" si="11"/>
        <v>0</v>
      </c>
      <c r="Y46" s="40">
        <f t="shared" si="11"/>
        <v>0</v>
      </c>
      <c r="Z46" s="40">
        <f t="shared" si="11"/>
        <v>0</v>
      </c>
      <c r="AA46" s="40">
        <f t="shared" si="11"/>
        <v>0</v>
      </c>
      <c r="AB46" s="40">
        <f t="shared" si="11"/>
        <v>0</v>
      </c>
      <c r="AC46" s="40">
        <f t="shared" si="11"/>
        <v>0</v>
      </c>
      <c r="AD46" s="40">
        <f t="shared" si="11"/>
        <v>0</v>
      </c>
      <c r="AE46" s="40">
        <f t="shared" si="11"/>
        <v>0</v>
      </c>
      <c r="AF46" s="40">
        <f t="shared" si="11"/>
        <v>0</v>
      </c>
      <c r="AG46" s="40">
        <f t="shared" si="11"/>
        <v>0</v>
      </c>
      <c r="AH46" s="40">
        <f t="shared" si="11"/>
        <v>0</v>
      </c>
      <c r="AI46" s="40">
        <f t="shared" si="11"/>
        <v>0</v>
      </c>
      <c r="AJ46" s="40">
        <f t="shared" si="11"/>
        <v>0</v>
      </c>
    </row>
    <row r="47" spans="2:36" s="36" customFormat="1" ht="15">
      <c r="B47" s="34" t="s">
        <v>157</v>
      </c>
      <c r="C47" s="34"/>
      <c r="D47" s="34"/>
      <c r="E47" s="64"/>
      <c r="F47" s="34"/>
      <c r="G47" s="40">
        <f>-G200</f>
        <v>-38518.51851851852</v>
      </c>
      <c r="H47" s="40">
        <f aca="true" t="shared" si="12" ref="H47:AJ47">-H200</f>
        <v>-38518.51851851852</v>
      </c>
      <c r="I47" s="40">
        <f t="shared" si="12"/>
        <v>-38518.51851851852</v>
      </c>
      <c r="J47" s="40">
        <f t="shared" si="12"/>
        <v>-38518.51851851852</v>
      </c>
      <c r="K47" s="40">
        <f t="shared" si="12"/>
        <v>-38518.51851851852</v>
      </c>
      <c r="L47" s="40">
        <f t="shared" si="12"/>
        <v>107013.3316423744</v>
      </c>
      <c r="M47" s="40">
        <f t="shared" si="12"/>
        <v>-38518.51851851852</v>
      </c>
      <c r="N47" s="40">
        <f t="shared" si="12"/>
        <v>-38518.51851851852</v>
      </c>
      <c r="O47" s="40">
        <f t="shared" si="12"/>
        <v>-38518.51851851852</v>
      </c>
      <c r="P47" s="40">
        <f t="shared" si="12"/>
        <v>346666.6666666667</v>
      </c>
      <c r="Q47" s="40">
        <f t="shared" si="12"/>
        <v>0</v>
      </c>
      <c r="R47" s="40">
        <f t="shared" si="12"/>
        <v>0</v>
      </c>
      <c r="S47" s="40">
        <f t="shared" si="12"/>
        <v>0</v>
      </c>
      <c r="T47" s="40">
        <f t="shared" si="12"/>
        <v>0</v>
      </c>
      <c r="U47" s="40">
        <f t="shared" si="12"/>
        <v>0</v>
      </c>
      <c r="V47" s="40">
        <f t="shared" si="12"/>
        <v>0</v>
      </c>
      <c r="W47" s="40">
        <f t="shared" si="12"/>
        <v>0</v>
      </c>
      <c r="X47" s="40">
        <f t="shared" si="12"/>
        <v>0</v>
      </c>
      <c r="Y47" s="40">
        <f t="shared" si="12"/>
        <v>0</v>
      </c>
      <c r="Z47" s="40">
        <f t="shared" si="12"/>
        <v>0</v>
      </c>
      <c r="AA47" s="40">
        <f t="shared" si="12"/>
        <v>0</v>
      </c>
      <c r="AB47" s="40">
        <f t="shared" si="12"/>
        <v>0</v>
      </c>
      <c r="AC47" s="40">
        <f t="shared" si="12"/>
        <v>0</v>
      </c>
      <c r="AD47" s="40">
        <f t="shared" si="12"/>
        <v>0</v>
      </c>
      <c r="AE47" s="40">
        <f t="shared" si="12"/>
        <v>43469.92610328318</v>
      </c>
      <c r="AF47" s="40">
        <f t="shared" si="12"/>
        <v>0</v>
      </c>
      <c r="AG47" s="40">
        <f t="shared" si="12"/>
        <v>0</v>
      </c>
      <c r="AH47" s="40">
        <f t="shared" si="12"/>
        <v>0</v>
      </c>
      <c r="AI47" s="40">
        <f t="shared" si="12"/>
        <v>0</v>
      </c>
      <c r="AJ47" s="40">
        <f t="shared" si="12"/>
        <v>0</v>
      </c>
    </row>
    <row r="48" spans="2:36" s="36" customFormat="1" ht="15">
      <c r="B48" s="37" t="s">
        <v>158</v>
      </c>
      <c r="C48" s="37"/>
      <c r="D48" s="37"/>
      <c r="E48" s="67"/>
      <c r="F48" s="37"/>
      <c r="G48" s="41">
        <f>MIN(G195,0)</f>
        <v>0</v>
      </c>
      <c r="H48" s="41">
        <f aca="true" t="shared" si="13" ref="H48:AJ48">MIN(H195,0)</f>
        <v>0</v>
      </c>
      <c r="I48" s="41">
        <f t="shared" si="13"/>
        <v>0</v>
      </c>
      <c r="J48" s="41">
        <f t="shared" si="13"/>
        <v>0</v>
      </c>
      <c r="K48" s="41">
        <f t="shared" si="13"/>
        <v>0</v>
      </c>
      <c r="L48" s="41">
        <f t="shared" si="13"/>
        <v>0</v>
      </c>
      <c r="M48" s="41">
        <f t="shared" si="13"/>
        <v>0</v>
      </c>
      <c r="N48" s="41">
        <f t="shared" si="13"/>
        <v>0</v>
      </c>
      <c r="O48" s="41">
        <f t="shared" si="13"/>
        <v>0</v>
      </c>
      <c r="P48" s="41">
        <f t="shared" si="13"/>
        <v>-346666.6666666667</v>
      </c>
      <c r="Q48" s="41">
        <f t="shared" si="13"/>
        <v>0</v>
      </c>
      <c r="R48" s="41">
        <f t="shared" si="13"/>
        <v>0</v>
      </c>
      <c r="S48" s="41">
        <f t="shared" si="13"/>
        <v>0</v>
      </c>
      <c r="T48" s="41">
        <f t="shared" si="13"/>
        <v>0</v>
      </c>
      <c r="U48" s="41">
        <f t="shared" si="13"/>
        <v>0</v>
      </c>
      <c r="V48" s="41">
        <f t="shared" si="13"/>
        <v>0</v>
      </c>
      <c r="W48" s="41">
        <f t="shared" si="13"/>
        <v>0</v>
      </c>
      <c r="X48" s="41">
        <f t="shared" si="13"/>
        <v>0</v>
      </c>
      <c r="Y48" s="41">
        <f t="shared" si="13"/>
        <v>0</v>
      </c>
      <c r="Z48" s="41">
        <f t="shared" si="13"/>
        <v>0</v>
      </c>
      <c r="AA48" s="41">
        <f t="shared" si="13"/>
        <v>0</v>
      </c>
      <c r="AB48" s="41">
        <f t="shared" si="13"/>
        <v>0</v>
      </c>
      <c r="AC48" s="41">
        <f t="shared" si="13"/>
        <v>0</v>
      </c>
      <c r="AD48" s="41">
        <f t="shared" si="13"/>
        <v>0</v>
      </c>
      <c r="AE48" s="41">
        <f t="shared" si="13"/>
        <v>0</v>
      </c>
      <c r="AF48" s="41">
        <f t="shared" si="13"/>
        <v>0</v>
      </c>
      <c r="AG48" s="41">
        <f t="shared" si="13"/>
        <v>0</v>
      </c>
      <c r="AH48" s="41">
        <f t="shared" si="13"/>
        <v>0</v>
      </c>
      <c r="AI48" s="41">
        <f t="shared" si="13"/>
        <v>0</v>
      </c>
      <c r="AJ48" s="41">
        <f t="shared" si="13"/>
        <v>0</v>
      </c>
    </row>
    <row r="49" spans="1:36" s="27" customFormat="1" ht="15.75">
      <c r="A49" s="29"/>
      <c r="B49" s="50" t="s">
        <v>62</v>
      </c>
      <c r="C49" s="50"/>
      <c r="D49" s="50"/>
      <c r="E49" s="151"/>
      <c r="F49" s="151"/>
      <c r="G49" s="43">
        <f>G44+SUM(G46:G48)</f>
        <v>98896.90935285998</v>
      </c>
      <c r="H49" s="43">
        <f aca="true" t="shared" si="14" ref="H49:AJ49">H44+SUM(H46:H48)</f>
        <v>96367.05787288432</v>
      </c>
      <c r="I49" s="43">
        <f t="shared" si="14"/>
        <v>93810.33445590176</v>
      </c>
      <c r="J49" s="43">
        <f t="shared" si="14"/>
        <v>91226.69900067203</v>
      </c>
      <c r="K49" s="43">
        <f t="shared" si="14"/>
        <v>88616.08386224275</v>
      </c>
      <c r="L49" s="43">
        <f t="shared" si="14"/>
        <v>521118.6262647783</v>
      </c>
      <c r="M49" s="43">
        <f t="shared" si="14"/>
        <v>371466.5721205474</v>
      </c>
      <c r="N49" s="43">
        <f t="shared" si="14"/>
        <v>368774.34294682095</v>
      </c>
      <c r="O49" s="43">
        <f t="shared" si="14"/>
        <v>366054.5963224216</v>
      </c>
      <c r="P49" s="43">
        <f t="shared" si="14"/>
        <v>397973.799517311</v>
      </c>
      <c r="Q49" s="43">
        <f t="shared" si="14"/>
        <v>390961.3574348424</v>
      </c>
      <c r="R49" s="43">
        <f t="shared" si="14"/>
        <v>387387.3906751968</v>
      </c>
      <c r="S49" s="43">
        <f t="shared" si="14"/>
        <v>383784.95802101947</v>
      </c>
      <c r="T49" s="43">
        <f t="shared" si="14"/>
        <v>380153.7603828326</v>
      </c>
      <c r="U49" s="43">
        <f t="shared" si="14"/>
        <v>376493.47435288003</v>
      </c>
      <c r="V49" s="43">
        <f t="shared" si="14"/>
        <v>-11841.209279568197</v>
      </c>
      <c r="W49" s="43">
        <f t="shared" si="14"/>
        <v>-12102.138752117899</v>
      </c>
      <c r="X49" s="43">
        <f t="shared" si="14"/>
        <v>-12387.686763141217</v>
      </c>
      <c r="Y49" s="43">
        <f t="shared" si="14"/>
        <v>-12697.959247512772</v>
      </c>
      <c r="Z49" s="43">
        <f t="shared" si="14"/>
        <v>-13033.082143239677</v>
      </c>
      <c r="AA49" s="43">
        <f t="shared" si="14"/>
        <v>-13393.2012305206</v>
      </c>
      <c r="AB49" s="43">
        <f t="shared" si="14"/>
        <v>-13778.481988189029</v>
      </c>
      <c r="AC49" s="43">
        <f t="shared" si="14"/>
        <v>-14189.109467181697</v>
      </c>
      <c r="AD49" s="43">
        <f t="shared" si="14"/>
        <v>-14625.288180690739</v>
      </c>
      <c r="AE49" s="43">
        <f t="shared" si="14"/>
        <v>27947.984831574497</v>
      </c>
      <c r="AF49" s="43">
        <f t="shared" si="14"/>
        <v>1.2369127944111825E-12</v>
      </c>
      <c r="AG49" s="43">
        <f t="shared" si="14"/>
        <v>0</v>
      </c>
      <c r="AH49" s="43">
        <f t="shared" si="14"/>
        <v>0</v>
      </c>
      <c r="AI49" s="43">
        <f t="shared" si="14"/>
        <v>0</v>
      </c>
      <c r="AJ49" s="43">
        <f t="shared" si="14"/>
        <v>0</v>
      </c>
    </row>
    <row r="50" spans="2:7" s="27" customFormat="1" ht="15.75">
      <c r="B50" s="32"/>
      <c r="C50" s="32"/>
      <c r="D50" s="32"/>
      <c r="G50" s="51"/>
    </row>
    <row r="51" spans="2:7" s="27" customFormat="1" ht="15.75">
      <c r="B51" s="28" t="s">
        <v>63</v>
      </c>
      <c r="C51" s="28"/>
      <c r="D51" s="28"/>
      <c r="F51" s="74"/>
      <c r="G51" s="51"/>
    </row>
    <row r="52" spans="2:36" s="27" customFormat="1" ht="15">
      <c r="B52" s="29" t="s">
        <v>214</v>
      </c>
      <c r="C52" s="29"/>
      <c r="D52" s="29"/>
      <c r="F52" s="51">
        <f>-('CREST Inputs'!$G$26-'CREST Inputs'!G69-$F$82)</f>
        <v>-2560428.57500372</v>
      </c>
      <c r="G52" s="51">
        <v>0</v>
      </c>
      <c r="H52" s="51">
        <v>0</v>
      </c>
      <c r="I52" s="51">
        <v>0</v>
      </c>
      <c r="J52" s="51">
        <v>0</v>
      </c>
      <c r="K52" s="51">
        <v>0</v>
      </c>
      <c r="L52" s="51">
        <v>0</v>
      </c>
      <c r="M52" s="51">
        <v>0</v>
      </c>
      <c r="N52" s="51">
        <v>0</v>
      </c>
      <c r="O52" s="51">
        <v>0</v>
      </c>
      <c r="P52" s="51">
        <v>0</v>
      </c>
      <c r="Q52" s="51">
        <v>0</v>
      </c>
      <c r="R52" s="51">
        <v>0</v>
      </c>
      <c r="S52" s="51">
        <v>0</v>
      </c>
      <c r="T52" s="51">
        <v>0</v>
      </c>
      <c r="U52" s="51">
        <v>0</v>
      </c>
      <c r="V52" s="51">
        <v>0</v>
      </c>
      <c r="W52" s="51">
        <v>0</v>
      </c>
      <c r="X52" s="51">
        <v>0</v>
      </c>
      <c r="Y52" s="51">
        <v>0</v>
      </c>
      <c r="Z52" s="51">
        <v>0</v>
      </c>
      <c r="AA52" s="51">
        <v>0</v>
      </c>
      <c r="AB52" s="51">
        <v>0</v>
      </c>
      <c r="AC52" s="51">
        <v>0</v>
      </c>
      <c r="AD52" s="51">
        <v>0</v>
      </c>
      <c r="AE52" s="51">
        <v>0</v>
      </c>
      <c r="AF52" s="51">
        <v>0</v>
      </c>
      <c r="AG52" s="51">
        <v>0</v>
      </c>
      <c r="AH52" s="51">
        <v>0</v>
      </c>
      <c r="AI52" s="51">
        <v>0</v>
      </c>
      <c r="AJ52" s="51">
        <v>0</v>
      </c>
    </row>
    <row r="53" spans="2:36" s="27" customFormat="1" ht="15">
      <c r="B53" s="38" t="s">
        <v>62</v>
      </c>
      <c r="C53" s="38"/>
      <c r="D53" s="38"/>
      <c r="E53" s="38"/>
      <c r="F53" s="38"/>
      <c r="G53" s="52">
        <f>G49</f>
        <v>98896.90935285998</v>
      </c>
      <c r="H53" s="52">
        <f aca="true" t="shared" si="15" ref="H53:AJ53">H49</f>
        <v>96367.05787288432</v>
      </c>
      <c r="I53" s="52">
        <f t="shared" si="15"/>
        <v>93810.33445590176</v>
      </c>
      <c r="J53" s="52">
        <f t="shared" si="15"/>
        <v>91226.69900067203</v>
      </c>
      <c r="K53" s="52">
        <f t="shared" si="15"/>
        <v>88616.08386224275</v>
      </c>
      <c r="L53" s="52">
        <f t="shared" si="15"/>
        <v>521118.6262647783</v>
      </c>
      <c r="M53" s="52">
        <f t="shared" si="15"/>
        <v>371466.5721205474</v>
      </c>
      <c r="N53" s="52">
        <f t="shared" si="15"/>
        <v>368774.34294682095</v>
      </c>
      <c r="O53" s="52">
        <f t="shared" si="15"/>
        <v>366054.5963224216</v>
      </c>
      <c r="P53" s="52">
        <f t="shared" si="15"/>
        <v>397973.799517311</v>
      </c>
      <c r="Q53" s="52">
        <f t="shared" si="15"/>
        <v>390961.3574348424</v>
      </c>
      <c r="R53" s="52">
        <f t="shared" si="15"/>
        <v>387387.3906751968</v>
      </c>
      <c r="S53" s="52">
        <f t="shared" si="15"/>
        <v>383784.95802101947</v>
      </c>
      <c r="T53" s="52">
        <f t="shared" si="15"/>
        <v>380153.7603828326</v>
      </c>
      <c r="U53" s="52">
        <f t="shared" si="15"/>
        <v>376493.47435288003</v>
      </c>
      <c r="V53" s="52">
        <f t="shared" si="15"/>
        <v>-11841.209279568197</v>
      </c>
      <c r="W53" s="52">
        <f t="shared" si="15"/>
        <v>-12102.138752117899</v>
      </c>
      <c r="X53" s="52">
        <f t="shared" si="15"/>
        <v>-12387.686763141217</v>
      </c>
      <c r="Y53" s="52">
        <f t="shared" si="15"/>
        <v>-12697.959247512772</v>
      </c>
      <c r="Z53" s="52">
        <f t="shared" si="15"/>
        <v>-13033.082143239677</v>
      </c>
      <c r="AA53" s="52">
        <f t="shared" si="15"/>
        <v>-13393.2012305206</v>
      </c>
      <c r="AB53" s="52">
        <f t="shared" si="15"/>
        <v>-13778.481988189029</v>
      </c>
      <c r="AC53" s="52">
        <f t="shared" si="15"/>
        <v>-14189.109467181697</v>
      </c>
      <c r="AD53" s="52">
        <f t="shared" si="15"/>
        <v>-14625.288180690739</v>
      </c>
      <c r="AE53" s="52">
        <f t="shared" si="15"/>
        <v>27947.984831574497</v>
      </c>
      <c r="AF53" s="52">
        <f t="shared" si="15"/>
        <v>1.2369127944111825E-12</v>
      </c>
      <c r="AG53" s="52">
        <f t="shared" si="15"/>
        <v>0</v>
      </c>
      <c r="AH53" s="52">
        <f t="shared" si="15"/>
        <v>0</v>
      </c>
      <c r="AI53" s="52">
        <f t="shared" si="15"/>
        <v>0</v>
      </c>
      <c r="AJ53" s="52">
        <f t="shared" si="15"/>
        <v>0</v>
      </c>
    </row>
    <row r="54" spans="2:36" s="27" customFormat="1" ht="15.75">
      <c r="B54" s="50" t="s">
        <v>110</v>
      </c>
      <c r="C54" s="50"/>
      <c r="D54" s="50"/>
      <c r="E54" s="199"/>
      <c r="F54" s="51">
        <f aca="true" t="shared" si="16" ref="F54:AJ54">SUM(F52:F53)</f>
        <v>-2560428.57500372</v>
      </c>
      <c r="G54" s="51">
        <f t="shared" si="16"/>
        <v>98896.90935285998</v>
      </c>
      <c r="H54" s="51">
        <f t="shared" si="16"/>
        <v>96367.05787288432</v>
      </c>
      <c r="I54" s="51">
        <f t="shared" si="16"/>
        <v>93810.33445590176</v>
      </c>
      <c r="J54" s="51">
        <f t="shared" si="16"/>
        <v>91226.69900067203</v>
      </c>
      <c r="K54" s="51">
        <f t="shared" si="16"/>
        <v>88616.08386224275</v>
      </c>
      <c r="L54" s="51">
        <f t="shared" si="16"/>
        <v>521118.6262647783</v>
      </c>
      <c r="M54" s="51">
        <f t="shared" si="16"/>
        <v>371466.5721205474</v>
      </c>
      <c r="N54" s="51">
        <f t="shared" si="16"/>
        <v>368774.34294682095</v>
      </c>
      <c r="O54" s="51">
        <f t="shared" si="16"/>
        <v>366054.5963224216</v>
      </c>
      <c r="P54" s="51">
        <f t="shared" si="16"/>
        <v>397973.799517311</v>
      </c>
      <c r="Q54" s="51">
        <f t="shared" si="16"/>
        <v>390961.3574348424</v>
      </c>
      <c r="R54" s="51">
        <f t="shared" si="16"/>
        <v>387387.3906751968</v>
      </c>
      <c r="S54" s="51">
        <f t="shared" si="16"/>
        <v>383784.95802101947</v>
      </c>
      <c r="T54" s="51">
        <f t="shared" si="16"/>
        <v>380153.7603828326</v>
      </c>
      <c r="U54" s="51">
        <f t="shared" si="16"/>
        <v>376493.47435288003</v>
      </c>
      <c r="V54" s="51">
        <f t="shared" si="16"/>
        <v>-11841.209279568197</v>
      </c>
      <c r="W54" s="51">
        <f t="shared" si="16"/>
        <v>-12102.138752117899</v>
      </c>
      <c r="X54" s="51">
        <f t="shared" si="16"/>
        <v>-12387.686763141217</v>
      </c>
      <c r="Y54" s="51">
        <f t="shared" si="16"/>
        <v>-12697.959247512772</v>
      </c>
      <c r="Z54" s="51">
        <f t="shared" si="16"/>
        <v>-13033.082143239677</v>
      </c>
      <c r="AA54" s="51">
        <f t="shared" si="16"/>
        <v>-13393.2012305206</v>
      </c>
      <c r="AB54" s="51">
        <f t="shared" si="16"/>
        <v>-13778.481988189029</v>
      </c>
      <c r="AC54" s="51">
        <f t="shared" si="16"/>
        <v>-14189.109467181697</v>
      </c>
      <c r="AD54" s="51">
        <f t="shared" si="16"/>
        <v>-14625.288180690739</v>
      </c>
      <c r="AE54" s="51">
        <f t="shared" si="16"/>
        <v>27947.984831574497</v>
      </c>
      <c r="AF54" s="51">
        <f t="shared" si="16"/>
        <v>1.2369127944111825E-12</v>
      </c>
      <c r="AG54" s="51">
        <f t="shared" si="16"/>
        <v>0</v>
      </c>
      <c r="AH54" s="51">
        <f t="shared" si="16"/>
        <v>0</v>
      </c>
      <c r="AI54" s="51">
        <f t="shared" si="16"/>
        <v>0</v>
      </c>
      <c r="AJ54" s="51">
        <f t="shared" si="16"/>
        <v>0</v>
      </c>
    </row>
    <row r="55" spans="2:36" s="27" customFormat="1" ht="15">
      <c r="B55" s="53" t="s">
        <v>64</v>
      </c>
      <c r="C55" s="53"/>
      <c r="D55" s="53"/>
      <c r="E55" s="51"/>
      <c r="F55" s="72"/>
      <c r="G55" s="189">
        <f>IF(ISERROR(IRR($F54:G54)),"NA",IRR($F54:G54))</f>
        <v>-0.9613748611000733</v>
      </c>
      <c r="H55" s="189">
        <f>IF(ISERROR(IRR($F54:H54)),"NA",IRR($F54:H54))</f>
        <v>-0.7857257511944096</v>
      </c>
      <c r="I55" s="189">
        <f>IF(ISERROR(IRR($F54:I54)),"NA",IRR($F54:I54))</f>
        <v>-0.6155644496407517</v>
      </c>
      <c r="J55" s="189">
        <f>IF(ISERROR(IRR($F54:J54)),"NA",IRR($F54:J54))</f>
        <v>-0.48634145140192786</v>
      </c>
      <c r="K55" s="189">
        <f>IF(ISERROR(IRR($F54:K54)),"NA",IRR($F54:K54))</f>
        <v>-0.39111105068024155</v>
      </c>
      <c r="L55" s="189">
        <f>IF(ISERROR(IRR($F54:L54)),"NA",IRR($F54:L54))</f>
        <v>-0.1782110227217466</v>
      </c>
      <c r="M55" s="189">
        <f>IF(ISERROR(IRR($F54:M54)),"NA",IRR($F54:M54))</f>
        <v>-0.1101299914758852</v>
      </c>
      <c r="N55" s="189">
        <f>IF(ISERROR(IRR($F54:N54)),"NA",IRR($F54:N54))</f>
        <v>-0.06382231391967708</v>
      </c>
      <c r="O55" s="189">
        <f>IF(ISERROR(IRR($F54:O54)),"NA",IRR($F54:O54))</f>
        <v>-0.030561097856075747</v>
      </c>
      <c r="P55" s="189">
        <f>IF(ISERROR(IRR($F54:P54)),"NA",IRR($F54:P54))</f>
        <v>-0.003752336811324475</v>
      </c>
      <c r="Q55" s="189">
        <f>IF(ISERROR(IRR($F54:Q54)),"NA",IRR($F54:Q54))</f>
        <v>0.016180877056724885</v>
      </c>
      <c r="R55" s="189">
        <f>IF(ISERROR(IRR($F54:R54)),"NA",IRR($F54:R54))</f>
        <v>0.031553233405859915</v>
      </c>
      <c r="S55" s="189">
        <f>IF(ISERROR(IRR($F54:S54)),"NA",IRR($F54:S54))</f>
        <v>0.043646409987641244</v>
      </c>
      <c r="T55" s="189">
        <f>IF(ISERROR(IRR($F54:T54)),"NA",IRR($F54:T54))</f>
        <v>0.05331159410593145</v>
      </c>
      <c r="U55" s="189">
        <f>IF(ISERROR(IRR($F54:U54)),"NA",IRR($F54:U54))</f>
        <v>0.06113720375958365</v>
      </c>
      <c r="V55" s="189">
        <f>IF(ISERROR(IRR($F54:V54)),"NA",IRR($F54:V54))</f>
        <v>0.06092019774737545</v>
      </c>
      <c r="W55" s="189">
        <f>IF(ISERROR(IRR($F54:W54)),"NA",IRR($F54:W54))</f>
        <v>0.060710232611280945</v>
      </c>
      <c r="X55" s="189">
        <f>IF(ISERROR(IRR($F54:X54)),"NA",IRR($F54:X54))</f>
        <v>0.06050667728699133</v>
      </c>
      <c r="Y55" s="189">
        <f>IF(ISERROR(IRR($F54:Y54)),"NA",IRR($F54:Y54))</f>
        <v>0.0603089693418799</v>
      </c>
      <c r="Z55" s="189">
        <f>IF(ISERROR(IRR($F54:Z54)),"NA",IRR($F54:Z54))</f>
        <v>0.06011660707414923</v>
      </c>
      <c r="AA55" s="189">
        <f>IF(ISERROR(IRR($F54:AA54)),"NA",IRR($F54:AA54))</f>
        <v>0.05992914258277526</v>
      </c>
      <c r="AB55" s="189">
        <f>IF(ISERROR(IRR($F54:AB54)),"NA",IRR($F54:AB54))</f>
        <v>0.059746175675342794</v>
      </c>
      <c r="AC55" s="189">
        <f>IF(ISERROR(IRR($F54:AC54)),"NA",IRR($F54:AC54))</f>
        <v>0.05956734850190082</v>
      </c>
      <c r="AD55" s="189">
        <f>IF(ISERROR(IRR($F54:AD54)),"NA",IRR($F54:AD54))</f>
        <v>0.05939234082014733</v>
      </c>
      <c r="AE55" s="189">
        <f>IF(ISERROR(IRR($F54:AE54)),"NA",IRR($F54:AE54))</f>
        <v>0.05970715788722192</v>
      </c>
      <c r="AF55" s="189">
        <f>IF(ISERROR(IRR($F54:AF54)),"NA",IRR($F54:AF54))</f>
        <v>0.05970715788722192</v>
      </c>
      <c r="AG55" s="189">
        <f>IF(ISERROR(IRR($F54:AG54)),"NA",IRR($F54:AG54))</f>
        <v>0.05970715788722192</v>
      </c>
      <c r="AH55" s="189">
        <f>IF(ISERROR(IRR($F54:AH54)),"NA",IRR($F54:AH54))</f>
        <v>0.05970715788722192</v>
      </c>
      <c r="AI55" s="189">
        <f>IF(ISERROR(IRR($F54:AI54)),"NA",IRR($F54:AI54))</f>
        <v>0.05970715788722192</v>
      </c>
      <c r="AJ55" s="189">
        <f>IF(ISERROR(IRR($F54:AJ54)),"NA",IRR($F54:AJ54))</f>
        <v>0.05970715788722192</v>
      </c>
    </row>
    <row r="56" spans="2:36" s="27" customFormat="1" ht="15">
      <c r="B56" s="53"/>
      <c r="C56" s="53"/>
      <c r="D56" s="53"/>
      <c r="E56" s="51"/>
      <c r="F56" s="72"/>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4"/>
      <c r="AI56" s="54"/>
      <c r="AJ56" s="54"/>
    </row>
    <row r="57" spans="2:36" s="27" customFormat="1" ht="15">
      <c r="B57" s="197" t="s">
        <v>141</v>
      </c>
      <c r="C57" s="197"/>
      <c r="D57" s="197"/>
      <c r="E57" s="38"/>
      <c r="F57" s="154"/>
      <c r="G57" s="52">
        <f aca="true" t="shared" si="17" ref="G57:AJ57">-G136</f>
        <v>-3917906.5970588704</v>
      </c>
      <c r="H57" s="52">
        <f t="shared" si="17"/>
        <v>0</v>
      </c>
      <c r="I57" s="52">
        <f t="shared" si="17"/>
        <v>0</v>
      </c>
      <c r="J57" s="52">
        <f t="shared" si="17"/>
        <v>0</v>
      </c>
      <c r="K57" s="52">
        <f t="shared" si="17"/>
        <v>0</v>
      </c>
      <c r="L57" s="52">
        <f t="shared" si="17"/>
        <v>0</v>
      </c>
      <c r="M57" s="52">
        <f t="shared" si="17"/>
        <v>0</v>
      </c>
      <c r="N57" s="52">
        <f t="shared" si="17"/>
        <v>0</v>
      </c>
      <c r="O57" s="52">
        <f t="shared" si="17"/>
        <v>0</v>
      </c>
      <c r="P57" s="52">
        <f t="shared" si="17"/>
        <v>-69333.33333333334</v>
      </c>
      <c r="Q57" s="52">
        <f t="shared" si="17"/>
        <v>-110933.33333333334</v>
      </c>
      <c r="R57" s="52">
        <f t="shared" si="17"/>
        <v>-66560</v>
      </c>
      <c r="S57" s="52">
        <f t="shared" si="17"/>
        <v>-39936</v>
      </c>
      <c r="T57" s="52">
        <f t="shared" si="17"/>
        <v>-39936</v>
      </c>
      <c r="U57" s="52">
        <f t="shared" si="17"/>
        <v>-19968</v>
      </c>
      <c r="V57" s="52">
        <f t="shared" si="17"/>
        <v>0</v>
      </c>
      <c r="W57" s="52">
        <f t="shared" si="17"/>
        <v>0</v>
      </c>
      <c r="X57" s="52">
        <f t="shared" si="17"/>
        <v>0</v>
      </c>
      <c r="Y57" s="52">
        <f t="shared" si="17"/>
        <v>0</v>
      </c>
      <c r="Z57" s="52">
        <f t="shared" si="17"/>
        <v>0</v>
      </c>
      <c r="AA57" s="52">
        <f t="shared" si="17"/>
        <v>0</v>
      </c>
      <c r="AB57" s="52">
        <f t="shared" si="17"/>
        <v>0</v>
      </c>
      <c r="AC57" s="52">
        <f t="shared" si="17"/>
        <v>0</v>
      </c>
      <c r="AD57" s="52">
        <f t="shared" si="17"/>
        <v>0</v>
      </c>
      <c r="AE57" s="52">
        <f t="shared" si="17"/>
        <v>0</v>
      </c>
      <c r="AF57" s="52">
        <f t="shared" si="17"/>
        <v>0</v>
      </c>
      <c r="AG57" s="52">
        <f t="shared" si="17"/>
        <v>0</v>
      </c>
      <c r="AH57" s="52">
        <f t="shared" si="17"/>
        <v>0</v>
      </c>
      <c r="AI57" s="52">
        <f t="shared" si="17"/>
        <v>0</v>
      </c>
      <c r="AJ57" s="52">
        <f t="shared" si="17"/>
        <v>0</v>
      </c>
    </row>
    <row r="58" spans="2:36" s="27" customFormat="1" ht="15.75">
      <c r="B58" s="32" t="s">
        <v>230</v>
      </c>
      <c r="C58" s="32"/>
      <c r="D58" s="32"/>
      <c r="F58" s="73"/>
      <c r="G58" s="71">
        <f>IF('CREST Inputs'!$G$73="No",0,(G$44+G$57))</f>
        <v>-3562991.4402974006</v>
      </c>
      <c r="H58" s="71">
        <f>IF('CREST Inputs'!$G$73="No",0,(H$44+H$57))</f>
        <v>365435.2890148996</v>
      </c>
      <c r="I58" s="71">
        <f>IF('CREST Inputs'!$G$73="No",0,(I$44+I$57))</f>
        <v>376711.5483553268</v>
      </c>
      <c r="J58" s="71">
        <f>IF('CREST Inputs'!$G$73="No",0,(J$44+J$57))</f>
        <v>388790.8746229515</v>
      </c>
      <c r="K58" s="71">
        <f>IF('CREST Inputs'!$G$73="No",0,(K$44+K$57))</f>
        <v>401722.9989107479</v>
      </c>
      <c r="L58" s="71">
        <f>IF('CREST Inputs'!$G$73="No",0,(L$44+L$57))</f>
        <v>414105.2946224039</v>
      </c>
      <c r="M58" s="71">
        <f>IF('CREST Inputs'!$G$73="No",0,(M$44+M$57))</f>
        <v>409985.09063906595</v>
      </c>
      <c r="N58" s="71">
        <f>IF('CREST Inputs'!$G$73="No",0,(N$44+N$57))</f>
        <v>407292.8614653395</v>
      </c>
      <c r="O58" s="71">
        <f>IF('CREST Inputs'!$G$73="No",0,(O$44+O$57))</f>
        <v>404573.11484094016</v>
      </c>
      <c r="P58" s="71">
        <f>IF('CREST Inputs'!$G$73="No",0,(P$44+P$57))</f>
        <v>328640.46618397767</v>
      </c>
      <c r="Q58" s="71">
        <f>IF('CREST Inputs'!$G$73="No",0,(Q$44+Q$57))</f>
        <v>280028.024101509</v>
      </c>
      <c r="R58" s="71">
        <f>IF('CREST Inputs'!$G$73="No",0,(R$44+R$57))</f>
        <v>320827.3906751968</v>
      </c>
      <c r="S58" s="71">
        <f>IF('CREST Inputs'!$G$73="No",0,(S$44+S$57))</f>
        <v>343848.95802101947</v>
      </c>
      <c r="T58" s="71">
        <f>IF('CREST Inputs'!$G$73="No",0,(T$44+T$57))</f>
        <v>340217.7603828326</v>
      </c>
      <c r="U58" s="71">
        <f>IF('CREST Inputs'!$G$73="No",0,(U$44+U$57))</f>
        <v>356525.47435288003</v>
      </c>
      <c r="V58" s="71">
        <f>IF('CREST Inputs'!$G$73="No",0,(V$44+V$57))</f>
        <v>-11841.209279568197</v>
      </c>
      <c r="W58" s="71">
        <f>IF('CREST Inputs'!$G$73="No",0,(W$44+W$57))</f>
        <v>-12102.138752117899</v>
      </c>
      <c r="X58" s="71">
        <f>IF('CREST Inputs'!$G$73="No",0,(X$44+X$57))</f>
        <v>-12387.686763141217</v>
      </c>
      <c r="Y58" s="71">
        <f>IF('CREST Inputs'!$G$73="No",0,(Y$44+Y$57))</f>
        <v>-12697.959247512772</v>
      </c>
      <c r="Z58" s="71">
        <f>IF('CREST Inputs'!$G$73="No",0,(Z$44+Z$57))</f>
        <v>-13033.082143239677</v>
      </c>
      <c r="AA58" s="71">
        <f>IF('CREST Inputs'!$G$73="No",0,(AA$44+AA$57))</f>
        <v>-13393.2012305206</v>
      </c>
      <c r="AB58" s="71">
        <f>IF('CREST Inputs'!$G$73="No",0,(AB$44+AB$57))</f>
        <v>-13778.481988189029</v>
      </c>
      <c r="AC58" s="71">
        <f>IF('CREST Inputs'!$G$73="No",0,(AC$44+AC$57))</f>
        <v>-14189.109467181697</v>
      </c>
      <c r="AD58" s="71">
        <f>IF('CREST Inputs'!$G$73="No",0,(AD$44+AD$57))</f>
        <v>-14625.288180690739</v>
      </c>
      <c r="AE58" s="71">
        <f>IF('CREST Inputs'!$G$73="No",0,(AE$44+AE$57))</f>
        <v>-15521.941271708682</v>
      </c>
      <c r="AF58" s="71">
        <f>IF('CREST Inputs'!$G$73="No",0,(AF$44+AF$57))</f>
        <v>1.2369127944111825E-12</v>
      </c>
      <c r="AG58" s="71">
        <f>IF('CREST Inputs'!$G$73="No",0,(AG$44+AG$57))</f>
        <v>0</v>
      </c>
      <c r="AH58" s="71">
        <f>IF('CREST Inputs'!$G$73="No",0,(AH$44+AH$57))</f>
        <v>0</v>
      </c>
      <c r="AI58" s="71">
        <f>IF('CREST Inputs'!$G$73="No",0,(AI$44+AI$57))</f>
        <v>0</v>
      </c>
      <c r="AJ58" s="71">
        <f>IF('CREST Inputs'!$G$73="No",0,(AJ$44+AJ$57))</f>
        <v>0</v>
      </c>
    </row>
    <row r="59" spans="2:36" s="27" customFormat="1" ht="15.75">
      <c r="B59" s="50"/>
      <c r="C59" s="50"/>
      <c r="D59" s="50"/>
      <c r="F59" s="73"/>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1"/>
      <c r="AH59" s="71"/>
      <c r="AI59" s="71"/>
      <c r="AJ59" s="71"/>
    </row>
    <row r="60" spans="2:36" s="27" customFormat="1" ht="15.75">
      <c r="B60" s="32" t="s">
        <v>282</v>
      </c>
      <c r="C60" s="32"/>
      <c r="D60" s="32"/>
      <c r="E60" s="309" t="s">
        <v>281</v>
      </c>
      <c r="F60" s="155" t="str">
        <f>'CREST Inputs'!G75</f>
        <v>As Generated</v>
      </c>
      <c r="G60" s="71">
        <f aca="true" t="shared" si="18" ref="G60:AJ60">IF($F$60="as generated",G$58,G$151)</f>
        <v>-3562991.4402974006</v>
      </c>
      <c r="H60" s="71">
        <f t="shared" si="18"/>
        <v>365435.2890148996</v>
      </c>
      <c r="I60" s="71">
        <f t="shared" si="18"/>
        <v>376711.5483553268</v>
      </c>
      <c r="J60" s="71">
        <f t="shared" si="18"/>
        <v>388790.8746229515</v>
      </c>
      <c r="K60" s="71">
        <f t="shared" si="18"/>
        <v>401722.9989107479</v>
      </c>
      <c r="L60" s="71">
        <f t="shared" si="18"/>
        <v>414105.2946224039</v>
      </c>
      <c r="M60" s="71">
        <f t="shared" si="18"/>
        <v>409985.09063906595</v>
      </c>
      <c r="N60" s="71">
        <f t="shared" si="18"/>
        <v>407292.8614653395</v>
      </c>
      <c r="O60" s="71">
        <f t="shared" si="18"/>
        <v>404573.11484094016</v>
      </c>
      <c r="P60" s="71">
        <f t="shared" si="18"/>
        <v>328640.46618397767</v>
      </c>
      <c r="Q60" s="71">
        <f t="shared" si="18"/>
        <v>280028.024101509</v>
      </c>
      <c r="R60" s="71">
        <f t="shared" si="18"/>
        <v>320827.3906751968</v>
      </c>
      <c r="S60" s="71">
        <f t="shared" si="18"/>
        <v>343848.95802101947</v>
      </c>
      <c r="T60" s="71">
        <f t="shared" si="18"/>
        <v>340217.7603828326</v>
      </c>
      <c r="U60" s="71">
        <f t="shared" si="18"/>
        <v>356525.47435288003</v>
      </c>
      <c r="V60" s="71">
        <f t="shared" si="18"/>
        <v>-11841.209279568197</v>
      </c>
      <c r="W60" s="71">
        <f t="shared" si="18"/>
        <v>-12102.138752117899</v>
      </c>
      <c r="X60" s="71">
        <f t="shared" si="18"/>
        <v>-12387.686763141217</v>
      </c>
      <c r="Y60" s="71">
        <f t="shared" si="18"/>
        <v>-12697.959247512772</v>
      </c>
      <c r="Z60" s="71">
        <f t="shared" si="18"/>
        <v>-13033.082143239677</v>
      </c>
      <c r="AA60" s="71">
        <f t="shared" si="18"/>
        <v>-13393.2012305206</v>
      </c>
      <c r="AB60" s="71">
        <f t="shared" si="18"/>
        <v>-13778.481988189029</v>
      </c>
      <c r="AC60" s="71">
        <f t="shared" si="18"/>
        <v>-14189.109467181697</v>
      </c>
      <c r="AD60" s="71">
        <f t="shared" si="18"/>
        <v>-14625.288180690739</v>
      </c>
      <c r="AE60" s="71">
        <f t="shared" si="18"/>
        <v>-15521.941271708682</v>
      </c>
      <c r="AF60" s="71">
        <f t="shared" si="18"/>
        <v>1.2369127944111825E-12</v>
      </c>
      <c r="AG60" s="71">
        <f t="shared" si="18"/>
        <v>0</v>
      </c>
      <c r="AH60" s="71">
        <f t="shared" si="18"/>
        <v>0</v>
      </c>
      <c r="AI60" s="71">
        <f t="shared" si="18"/>
        <v>0</v>
      </c>
      <c r="AJ60" s="71">
        <f t="shared" si="18"/>
        <v>0</v>
      </c>
    </row>
    <row r="61" spans="2:36" s="27" customFormat="1" ht="15.75">
      <c r="B61" s="32" t="s">
        <v>283</v>
      </c>
      <c r="C61" s="32"/>
      <c r="D61" s="32"/>
      <c r="E61" s="309" t="s">
        <v>281</v>
      </c>
      <c r="F61" s="155" t="str">
        <f>'CREST Inputs'!G77</f>
        <v>As Generated</v>
      </c>
      <c r="G61" s="71">
        <f aca="true" t="shared" si="19" ref="G61:AJ61">IF($F$61="as generated",G$58,G$159)</f>
        <v>-3562991.4402974006</v>
      </c>
      <c r="H61" s="71">
        <f t="shared" si="19"/>
        <v>365435.2890148996</v>
      </c>
      <c r="I61" s="71">
        <f t="shared" si="19"/>
        <v>376711.5483553268</v>
      </c>
      <c r="J61" s="71">
        <f t="shared" si="19"/>
        <v>388790.8746229515</v>
      </c>
      <c r="K61" s="71">
        <f t="shared" si="19"/>
        <v>401722.9989107479</v>
      </c>
      <c r="L61" s="71">
        <f t="shared" si="19"/>
        <v>414105.2946224039</v>
      </c>
      <c r="M61" s="71">
        <f t="shared" si="19"/>
        <v>409985.09063906595</v>
      </c>
      <c r="N61" s="71">
        <f t="shared" si="19"/>
        <v>407292.8614653395</v>
      </c>
      <c r="O61" s="71">
        <f t="shared" si="19"/>
        <v>404573.11484094016</v>
      </c>
      <c r="P61" s="71">
        <f t="shared" si="19"/>
        <v>328640.46618397767</v>
      </c>
      <c r="Q61" s="71">
        <f t="shared" si="19"/>
        <v>280028.024101509</v>
      </c>
      <c r="R61" s="71">
        <f t="shared" si="19"/>
        <v>320827.3906751968</v>
      </c>
      <c r="S61" s="71">
        <f t="shared" si="19"/>
        <v>343848.95802101947</v>
      </c>
      <c r="T61" s="71">
        <f t="shared" si="19"/>
        <v>340217.7603828326</v>
      </c>
      <c r="U61" s="71">
        <f t="shared" si="19"/>
        <v>356525.47435288003</v>
      </c>
      <c r="V61" s="71">
        <f t="shared" si="19"/>
        <v>-11841.209279568197</v>
      </c>
      <c r="W61" s="71">
        <f t="shared" si="19"/>
        <v>-12102.138752117899</v>
      </c>
      <c r="X61" s="71">
        <f t="shared" si="19"/>
        <v>-12387.686763141217</v>
      </c>
      <c r="Y61" s="71">
        <f t="shared" si="19"/>
        <v>-12697.959247512772</v>
      </c>
      <c r="Z61" s="71">
        <f t="shared" si="19"/>
        <v>-13033.082143239677</v>
      </c>
      <c r="AA61" s="71">
        <f t="shared" si="19"/>
        <v>-13393.2012305206</v>
      </c>
      <c r="AB61" s="71">
        <f t="shared" si="19"/>
        <v>-13778.481988189029</v>
      </c>
      <c r="AC61" s="71">
        <f t="shared" si="19"/>
        <v>-14189.109467181697</v>
      </c>
      <c r="AD61" s="71">
        <f t="shared" si="19"/>
        <v>-14625.288180690739</v>
      </c>
      <c r="AE61" s="71">
        <f t="shared" si="19"/>
        <v>-15521.941271708682</v>
      </c>
      <c r="AF61" s="71">
        <f t="shared" si="19"/>
        <v>1.2369127944111825E-12</v>
      </c>
      <c r="AG61" s="71">
        <f t="shared" si="19"/>
        <v>0</v>
      </c>
      <c r="AH61" s="71">
        <f t="shared" si="19"/>
        <v>0</v>
      </c>
      <c r="AI61" s="71">
        <f t="shared" si="19"/>
        <v>0</v>
      </c>
      <c r="AJ61" s="71">
        <f t="shared" si="19"/>
        <v>0</v>
      </c>
    </row>
    <row r="62" spans="2:36" s="27" customFormat="1" ht="15">
      <c r="B62" s="153"/>
      <c r="C62" s="153"/>
      <c r="D62" s="153"/>
      <c r="F62" s="73"/>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1"/>
      <c r="AH62" s="71"/>
      <c r="AI62" s="71"/>
      <c r="AJ62" s="71"/>
    </row>
    <row r="63" spans="2:36" s="36" customFormat="1" ht="15">
      <c r="B63" s="34" t="s">
        <v>125</v>
      </c>
      <c r="C63" s="34"/>
      <c r="D63" s="34"/>
      <c r="E63" s="151"/>
      <c r="G63" s="71">
        <f>IF('CREST Inputs'!$G$73="No",0,-(G$60+G$64)*'CREST Inputs'!$G$74)</f>
        <v>677146.523228521</v>
      </c>
      <c r="H63" s="71">
        <f>IF('CREST Inputs'!$G$73="No",0,-(H$60+H$64)*'CREST Inputs'!$G$74)</f>
        <v>-69450.97667728167</v>
      </c>
      <c r="I63" s="71">
        <f>IF('CREST Inputs'!$G$73="No",0,-(I$60+I$64)*'CREST Inputs'!$G$74)</f>
        <v>-71594.02976492986</v>
      </c>
      <c r="J63" s="71">
        <f>IF('CREST Inputs'!$G$73="No",0,-(J$60+J$64)*'CREST Inputs'!$G$74)</f>
        <v>-73889.70572209192</v>
      </c>
      <c r="K63" s="71">
        <f>IF('CREST Inputs'!$G$73="No",0,-(K$60+K$64)*'CREST Inputs'!$G$74)</f>
        <v>-76347.45594298764</v>
      </c>
      <c r="L63" s="71">
        <f>IF('CREST Inputs'!$G$73="No",0,-(L$60+L$64)*'CREST Inputs'!$G$74)</f>
        <v>-78700.71124298786</v>
      </c>
      <c r="M63" s="71">
        <f>IF('CREST Inputs'!$G$73="No",0,-(M$60+M$64)*'CREST Inputs'!$G$74)</f>
        <v>-77917.66647595448</v>
      </c>
      <c r="N63" s="71">
        <f>IF('CREST Inputs'!$G$73="No",0,-(N$60+N$64)*'CREST Inputs'!$G$74)</f>
        <v>-77406.00832148777</v>
      </c>
      <c r="O63" s="71">
        <f>IF('CREST Inputs'!$G$73="No",0,-(O$60+O$64)*'CREST Inputs'!$G$74)</f>
        <v>-76889.12047552069</v>
      </c>
      <c r="P63" s="71">
        <f>IF('CREST Inputs'!$G$73="No",0,-(P$60+P$64)*'CREST Inputs'!$G$74)</f>
        <v>-62458.12059826495</v>
      </c>
      <c r="Q63" s="71">
        <f>IF('CREST Inputs'!$G$73="No",0,-(Q$60+Q$64)*'CREST Inputs'!$G$74)</f>
        <v>-53219.32598049178</v>
      </c>
      <c r="R63" s="71">
        <f>IF('CREST Inputs'!$G$73="No",0,-(R$60+R$64)*'CREST Inputs'!$G$74)</f>
        <v>-60973.24559782115</v>
      </c>
      <c r="S63" s="71">
        <f>IF('CREST Inputs'!$G$73="No",0,-(S$60+S$64)*'CREST Inputs'!$G$74)</f>
        <v>-65348.49447189475</v>
      </c>
      <c r="T63" s="71">
        <f>IF('CREST Inputs'!$G$73="No",0,-(T$60+T$64)*'CREST Inputs'!$G$74)</f>
        <v>-64658.38536075733</v>
      </c>
      <c r="U63" s="71">
        <f>IF('CREST Inputs'!$G$73="No",0,-(U$60+U$64)*'CREST Inputs'!$G$74)</f>
        <v>-67757.66640076485</v>
      </c>
      <c r="V63" s="71">
        <f>IF('CREST Inputs'!$G$73="No",0,-(V$60+V$64)*'CREST Inputs'!$G$74)</f>
        <v>2250.4218235819353</v>
      </c>
      <c r="W63" s="71">
        <f>IF('CREST Inputs'!$G$73="No",0,-(W$60+W$64)*'CREST Inputs'!$G$74)</f>
        <v>2300.011469840006</v>
      </c>
      <c r="X63" s="71">
        <f>IF('CREST Inputs'!$G$73="No",0,-(X$60+X$64)*'CREST Inputs'!$G$74)</f>
        <v>2354.2798693349882</v>
      </c>
      <c r="Y63" s="71">
        <f>IF('CREST Inputs'!$G$73="No",0,-(Y$60+Y$64)*'CREST Inputs'!$G$74)</f>
        <v>2413.2471549898023</v>
      </c>
      <c r="Z63" s="71">
        <f>IF('CREST Inputs'!$G$73="No",0,-(Z$60+Z$64)*'CREST Inputs'!$G$74)</f>
        <v>2476.9372613227006</v>
      </c>
      <c r="AA63" s="71">
        <f>IF('CREST Inputs'!$G$73="No",0,-(AA$60+AA$64)*'CREST Inputs'!$G$74)</f>
        <v>2545.3778938604405</v>
      </c>
      <c r="AB63" s="71">
        <f>IF('CREST Inputs'!$G$73="No",0,-(AB$60+AB$64)*'CREST Inputs'!$G$74)</f>
        <v>2618.6005018553246</v>
      </c>
      <c r="AC63" s="71">
        <f>IF('CREST Inputs'!$G$73="No",0,-(AC$60+AC$64)*'CREST Inputs'!$G$74)</f>
        <v>2696.6402542378814</v>
      </c>
      <c r="AD63" s="71">
        <f>IF('CREST Inputs'!$G$73="No",0,-(AD$60+AD$64)*'CREST Inputs'!$G$74)</f>
        <v>2779.536018740275</v>
      </c>
      <c r="AE63" s="71">
        <f>IF('CREST Inputs'!$G$73="No",0,-(AE$60+AE$64)*'CREST Inputs'!$G$74)</f>
        <v>2949.9449386882347</v>
      </c>
      <c r="AF63" s="71">
        <f>IF('CREST Inputs'!$G$73="No",0,-(AF$60+AF$64)*'CREST Inputs'!$G$74)</f>
        <v>-2.3507527657784524E-13</v>
      </c>
      <c r="AG63" s="71">
        <f>IF('CREST Inputs'!$G$73="No",0,-(AG$60+AG$64)*'CREST Inputs'!$G$74)</f>
        <v>0</v>
      </c>
      <c r="AH63" s="71">
        <f>IF('CREST Inputs'!$G$73="No",0,-(AH$60+AH$64)*'CREST Inputs'!$G$74)</f>
        <v>0</v>
      </c>
      <c r="AI63" s="71">
        <f>IF('CREST Inputs'!$G$73="No",0,-(AI$60+AI$64)*'CREST Inputs'!$G$74)</f>
        <v>0</v>
      </c>
      <c r="AJ63" s="71">
        <f>IF('CREST Inputs'!$G$73="No",0,-(AJ$60+AJ$64)*'CREST Inputs'!$G$74)</f>
        <v>0</v>
      </c>
    </row>
    <row r="64" spans="2:36" s="36" customFormat="1" ht="15">
      <c r="B64" s="34" t="s">
        <v>151</v>
      </c>
      <c r="C64" s="34"/>
      <c r="D64" s="34"/>
      <c r="G64" s="71">
        <f>IF('CREST Inputs'!$G$73="No",0,-(G$61-IF(AND('CREST Inputs'!$Q$38="Cash",'CREST Inputs'!$Q$40="No"),'Cash Flow'!G$21,0))*'CREST Inputs'!$G$76)</f>
        <v>338484.18682825303</v>
      </c>
      <c r="H64" s="71">
        <f>IF('CREST Inputs'!$G$73="No",0,-(H$61-IF(AND('CREST Inputs'!$Q$38="Cash",'CREST Inputs'!$Q$40="No"),'Cash Flow'!H$21,0))*'CREST Inputs'!$G$76)</f>
        <v>-34716.35245641546</v>
      </c>
      <c r="I64" s="71">
        <f>IF('CREST Inputs'!$G$73="No",0,-(I$61-IF(AND('CREST Inputs'!$Q$38="Cash",'CREST Inputs'!$Q$40="No"),'Cash Flow'!I$21,0))*'CREST Inputs'!$G$76)</f>
        <v>-35787.59709375605</v>
      </c>
      <c r="J64" s="71">
        <f>IF('CREST Inputs'!$G$73="No",0,-(J$61-IF(AND('CREST Inputs'!$Q$38="Cash",'CREST Inputs'!$Q$40="No"),'Cash Flow'!J$21,0))*'CREST Inputs'!$G$76)</f>
        <v>-36935.133089180395</v>
      </c>
      <c r="K64" s="71">
        <f>IF('CREST Inputs'!$G$73="No",0,-(K$61-IF(AND('CREST Inputs'!$Q$38="Cash",'CREST Inputs'!$Q$40="No"),'Cash Flow'!K$21,0))*'CREST Inputs'!$G$76)</f>
        <v>-38163.68489652105</v>
      </c>
      <c r="L64" s="71">
        <f>IF('CREST Inputs'!$G$73="No",0,-(L$61-IF(AND('CREST Inputs'!$Q$38="Cash",'CREST Inputs'!$Q$40="No"),'Cash Flow'!L$21,0))*'CREST Inputs'!$G$76)</f>
        <v>-39340.00298912837</v>
      </c>
      <c r="M64" s="71">
        <f>IF('CREST Inputs'!$G$73="No",0,-(M$61-IF(AND('CREST Inputs'!$Q$38="Cash",'CREST Inputs'!$Q$40="No"),'Cash Flow'!M$21,0))*'CREST Inputs'!$G$76)</f>
        <v>-38948.58361071126</v>
      </c>
      <c r="N64" s="71">
        <f>IF('CREST Inputs'!$G$73="No",0,-(N$61-IF(AND('CREST Inputs'!$Q$38="Cash",'CREST Inputs'!$Q$40="No"),'Cash Flow'!N$21,0))*'CREST Inputs'!$G$76)</f>
        <v>-38692.82183920725</v>
      </c>
      <c r="O64" s="71">
        <f>IF('CREST Inputs'!$G$73="No",0,-(O$61-IF(AND('CREST Inputs'!$Q$38="Cash",'CREST Inputs'!$Q$40="No"),'Cash Flow'!O$21,0))*'CREST Inputs'!$G$76)</f>
        <v>-38434.44590988931</v>
      </c>
      <c r="P64" s="71">
        <f>IF('CREST Inputs'!$G$73="No",0,-(P$61-IF(AND('CREST Inputs'!$Q$38="Cash",'CREST Inputs'!$Q$40="No"),'Cash Flow'!P$21,0))*'CREST Inputs'!$G$76)</f>
        <v>-31220.844287477878</v>
      </c>
      <c r="Q64" s="71">
        <f>IF('CREST Inputs'!$G$73="No",0,-(Q$61-IF(AND('CREST Inputs'!$Q$38="Cash",'CREST Inputs'!$Q$40="No"),'Cash Flow'!Q$21,0))*'CREST Inputs'!$G$76)</f>
        <v>-26602.66228964336</v>
      </c>
      <c r="R64" s="71">
        <f>IF('CREST Inputs'!$G$73="No",0,-(R$61-IF(AND('CREST Inputs'!$Q$38="Cash",'CREST Inputs'!$Q$40="No"),'Cash Flow'!R$21,0))*'CREST Inputs'!$G$76)</f>
        <v>-30478.602114143694</v>
      </c>
      <c r="S64" s="71">
        <f>IF('CREST Inputs'!$G$73="No",0,-(S$61-IF(AND('CREST Inputs'!$Q$38="Cash",'CREST Inputs'!$Q$40="No"),'Cash Flow'!S$21,0))*'CREST Inputs'!$G$76)</f>
        <v>-32665.65101199685</v>
      </c>
      <c r="T64" s="71">
        <f>IF('CREST Inputs'!$G$73="No",0,-(T$61-IF(AND('CREST Inputs'!$Q$38="Cash",'CREST Inputs'!$Q$40="No"),'Cash Flow'!T$21,0))*'CREST Inputs'!$G$76)</f>
        <v>-32320.6872363691</v>
      </c>
      <c r="U64" s="71">
        <f>IF('CREST Inputs'!$G$73="No",0,-(U$61-IF(AND('CREST Inputs'!$Q$38="Cash",'CREST Inputs'!$Q$40="No"),'Cash Flow'!U$21,0))*'CREST Inputs'!$G$76)</f>
        <v>-33869.920063523605</v>
      </c>
      <c r="V64" s="71">
        <f>IF('CREST Inputs'!$G$73="No",0,-(V$61-IF(AND('CREST Inputs'!$Q$38="Cash",'CREST Inputs'!$Q$40="No"),'Cash Flow'!V$21,0))*'CREST Inputs'!$G$76)</f>
        <v>1124.9148815589788</v>
      </c>
      <c r="W64" s="71">
        <f>IF('CREST Inputs'!$G$73="No",0,-(W$61-IF(AND('CREST Inputs'!$Q$38="Cash",'CREST Inputs'!$Q$40="No"),'Cash Flow'!W$21,0))*'CREST Inputs'!$G$76)</f>
        <v>1149.7031814512004</v>
      </c>
      <c r="X64" s="71">
        <f>IF('CREST Inputs'!$G$73="No",0,-(X$61-IF(AND('CREST Inputs'!$Q$38="Cash",'CREST Inputs'!$Q$40="No"),'Cash Flow'!X$21,0))*'CREST Inputs'!$G$76)</f>
        <v>1176.8302424984156</v>
      </c>
      <c r="Y64" s="71">
        <f>IF('CREST Inputs'!$G$73="No",0,-(Y$61-IF(AND('CREST Inputs'!$Q$38="Cash",'CREST Inputs'!$Q$40="No"),'Cash Flow'!Y$21,0))*'CREST Inputs'!$G$76)</f>
        <v>1206.3061285137132</v>
      </c>
      <c r="Z64" s="71">
        <f>IF('CREST Inputs'!$G$73="No",0,-(Z$61-IF(AND('CREST Inputs'!$Q$38="Cash",'CREST Inputs'!$Q$40="No"),'Cash Flow'!Z$21,0))*'CREST Inputs'!$G$76)</f>
        <v>1238.1428036077693</v>
      </c>
      <c r="AA64" s="71">
        <f>IF('CREST Inputs'!$G$73="No",0,-(AA$61-IF(AND('CREST Inputs'!$Q$38="Cash",'CREST Inputs'!$Q$40="No"),'Cash Flow'!AA$21,0))*'CREST Inputs'!$G$76)</f>
        <v>1272.354116899457</v>
      </c>
      <c r="AB64" s="71">
        <f>IF('CREST Inputs'!$G$73="No",0,-(AB$61-IF(AND('CREST Inputs'!$Q$38="Cash",'CREST Inputs'!$Q$40="No"),'Cash Flow'!AB$21,0))*'CREST Inputs'!$G$76)</f>
        <v>1308.9557888779577</v>
      </c>
      <c r="AC64" s="71">
        <f>IF('CREST Inputs'!$G$73="No",0,-(AC$61-IF(AND('CREST Inputs'!$Q$38="Cash",'CREST Inputs'!$Q$40="No"),'Cash Flow'!AC$21,0))*'CREST Inputs'!$G$76)</f>
        <v>1347.9653993822612</v>
      </c>
      <c r="AD64" s="71">
        <f>IF('CREST Inputs'!$G$73="No",0,-(AD$61-IF(AND('CREST Inputs'!$Q$38="Cash",'CREST Inputs'!$Q$40="No"),'Cash Flow'!AD$21,0))*'CREST Inputs'!$G$76)</f>
        <v>1389.4023771656202</v>
      </c>
      <c r="AE64" s="71">
        <f>IF('CREST Inputs'!$G$73="No",0,-(AE$61-IF(AND('CREST Inputs'!$Q$38="Cash",'CREST Inputs'!$Q$40="No"),'Cash Flow'!AE$21,0))*'CREST Inputs'!$G$76)</f>
        <v>1474.5844208123249</v>
      </c>
      <c r="AF64" s="71">
        <f>IF('CREST Inputs'!$G$73="No",0,-(AF$61-IF(AND('CREST Inputs'!$Q$38="Cash",'CREST Inputs'!$Q$40="No"),'Cash Flow'!AF$21,0))*'CREST Inputs'!$G$76)</f>
        <v>-1.1750671546906234E-13</v>
      </c>
      <c r="AG64" s="71">
        <f>IF('CREST Inputs'!$G$73="No",0,-(AG$61-IF(AND('CREST Inputs'!$Q$38="Cash",'CREST Inputs'!$Q$40="No"),'Cash Flow'!AG$21,0))*'CREST Inputs'!$G$76)</f>
        <v>0</v>
      </c>
      <c r="AH64" s="71">
        <f>IF('CREST Inputs'!$G$73="No",0,-(AH$61-IF(AND('CREST Inputs'!$Q$38="Cash",'CREST Inputs'!$Q$40="No"),'Cash Flow'!AH$21,0))*'CREST Inputs'!$G$76)</f>
        <v>0</v>
      </c>
      <c r="AI64" s="71">
        <f>IF('CREST Inputs'!$G$73="No",0,-(AI$61-IF(AND('CREST Inputs'!$Q$38="Cash",'CREST Inputs'!$Q$40="No"),'Cash Flow'!AI$21,0))*'CREST Inputs'!$G$76)</f>
        <v>0</v>
      </c>
      <c r="AJ64" s="71">
        <f>IF('CREST Inputs'!$G$73="No",0,-(AJ$61-IF(AND('CREST Inputs'!$Q$38="Cash",'CREST Inputs'!$Q$40="No"),'Cash Flow'!AJ$21,0))*'CREST Inputs'!$G$76)</f>
        <v>0</v>
      </c>
    </row>
    <row r="65" spans="2:36" s="27" customFormat="1" ht="15">
      <c r="B65" s="34" t="s">
        <v>215</v>
      </c>
      <c r="C65" s="34"/>
      <c r="D65" s="34"/>
      <c r="E65" s="151"/>
      <c r="F65" s="36"/>
      <c r="G65" s="40">
        <f>IF(AND('CREST Inputs'!$Q$19="Cost-Based",'CREST Inputs'!$Q$20="Cash Grant",G$2=1),'CREST Inputs'!$Q$23,IF('CREST Inputs'!$G$75="as generated",'Cash Flow'!G$166,-G$173))</f>
        <v>943843.0036128527</v>
      </c>
      <c r="H65" s="40">
        <f>IF(AND('CREST Inputs'!$Q$19="Cost-Based",'CREST Inputs'!$Q$20="Cash Grant",H$2=1),'CREST Inputs'!$Q$23,IF('CREST Inputs'!$G$75="as generated",'Cash Flow'!H$166,-H$173))</f>
        <v>0</v>
      </c>
      <c r="I65" s="40">
        <f>IF(AND('CREST Inputs'!$Q$19="Cost-Based",'CREST Inputs'!$Q$20="Cash Grant",I$2=1),'CREST Inputs'!$Q$23,IF('CREST Inputs'!$G$75="as generated",'Cash Flow'!I$166,-I$173))</f>
        <v>0</v>
      </c>
      <c r="J65" s="40">
        <f>IF(AND('CREST Inputs'!$Q$19="Cost-Based",'CREST Inputs'!$Q$20="Cash Grant",J$2=1),'CREST Inputs'!$Q$23,IF('CREST Inputs'!$G$75="as generated",'Cash Flow'!J$166,-J$173))</f>
        <v>0</v>
      </c>
      <c r="K65" s="40">
        <f>IF(AND('CREST Inputs'!$Q$19="Cost-Based",'CREST Inputs'!$Q$20="Cash Grant",K$2=1),'CREST Inputs'!$Q$23,IF('CREST Inputs'!$G$75="as generated",'Cash Flow'!K$166,-K$173))</f>
        <v>0</v>
      </c>
      <c r="L65" s="40">
        <f>IF(AND('CREST Inputs'!$Q$19="Cost-Based",'CREST Inputs'!$Q$20="Cash Grant",L$2=1),'CREST Inputs'!$Q$23,IF('CREST Inputs'!$G$75="as generated",'Cash Flow'!L$166,-L$173))</f>
        <v>0</v>
      </c>
      <c r="M65" s="40">
        <f>IF(AND('CREST Inputs'!$Q$19="Cost-Based",'CREST Inputs'!$Q$20="Cash Grant",M$2=1),'CREST Inputs'!$Q$23,IF('CREST Inputs'!$G$75="as generated",'Cash Flow'!M$166,-M$173))</f>
        <v>0</v>
      </c>
      <c r="N65" s="40">
        <f>IF(AND('CREST Inputs'!$Q$19="Cost-Based",'CREST Inputs'!$Q$20="Cash Grant",N$2=1),'CREST Inputs'!$Q$23,IF('CREST Inputs'!$G$75="as generated",'Cash Flow'!N$166,-N$173))</f>
        <v>0</v>
      </c>
      <c r="O65" s="40">
        <f>IF(AND('CREST Inputs'!$Q$19="Cost-Based",'CREST Inputs'!$Q$20="Cash Grant",O$2=1),'CREST Inputs'!$Q$23,IF('CREST Inputs'!$G$75="as generated",'Cash Flow'!O$166,-O$173))</f>
        <v>0</v>
      </c>
      <c r="P65" s="40">
        <f>IF(AND('CREST Inputs'!$Q$19="Cost-Based",'CREST Inputs'!$Q$20="Cash Grant",P$2=1),'CREST Inputs'!$Q$23,IF('CREST Inputs'!$G$75="as generated",'Cash Flow'!P$166,-P$173))</f>
        <v>0</v>
      </c>
      <c r="Q65" s="40">
        <f>IF(AND('CREST Inputs'!$Q$19="Cost-Based",'CREST Inputs'!$Q$20="Cash Grant",Q$2=1),'CREST Inputs'!$Q$23,IF('CREST Inputs'!$G$75="as generated",'Cash Flow'!Q$166,-Q$173))</f>
        <v>0</v>
      </c>
      <c r="R65" s="40">
        <f>IF(AND('CREST Inputs'!$Q$19="Cost-Based",'CREST Inputs'!$Q$20="Cash Grant",R$2=1),'CREST Inputs'!$Q$23,IF('CREST Inputs'!$G$75="as generated",'Cash Flow'!R$166,-R$173))</f>
        <v>0</v>
      </c>
      <c r="S65" s="40">
        <f>IF(AND('CREST Inputs'!$Q$19="Cost-Based",'CREST Inputs'!$Q$20="Cash Grant",S$2=1),'CREST Inputs'!$Q$23,IF('CREST Inputs'!$G$75="as generated",'Cash Flow'!S$166,-S$173))</f>
        <v>0</v>
      </c>
      <c r="T65" s="40">
        <f>IF(AND('CREST Inputs'!$Q$19="Cost-Based",'CREST Inputs'!$Q$20="Cash Grant",T$2=1),'CREST Inputs'!$Q$23,IF('CREST Inputs'!$G$75="as generated",'Cash Flow'!T$166,-T$173))</f>
        <v>0</v>
      </c>
      <c r="U65" s="40">
        <f>IF(AND('CREST Inputs'!$Q$19="Cost-Based",'CREST Inputs'!$Q$20="Cash Grant",U$2=1),'CREST Inputs'!$Q$23,IF('CREST Inputs'!$G$75="as generated",'Cash Flow'!U$166,-U$173))</f>
        <v>0</v>
      </c>
      <c r="V65" s="40">
        <f>IF(AND('CREST Inputs'!$Q$19="Cost-Based",'CREST Inputs'!$Q$20="Cash Grant",V$2=1),'CREST Inputs'!$Q$23,IF('CREST Inputs'!$G$75="as generated",'Cash Flow'!V$166,-V$173))</f>
        <v>0</v>
      </c>
      <c r="W65" s="40">
        <f>IF(AND('CREST Inputs'!$Q$19="Cost-Based",'CREST Inputs'!$Q$20="Cash Grant",W$2=1),'CREST Inputs'!$Q$23,IF('CREST Inputs'!$G$75="as generated",'Cash Flow'!W$166,-W$173))</f>
        <v>0</v>
      </c>
      <c r="X65" s="40">
        <f>IF(AND('CREST Inputs'!$Q$19="Cost-Based",'CREST Inputs'!$Q$20="Cash Grant",X$2=1),'CREST Inputs'!$Q$23,IF('CREST Inputs'!$G$75="as generated",'Cash Flow'!X$166,-X$173))</f>
        <v>0</v>
      </c>
      <c r="Y65" s="40">
        <f>IF(AND('CREST Inputs'!$Q$19="Cost-Based",'CREST Inputs'!$Q$20="Cash Grant",Y$2=1),'CREST Inputs'!$Q$23,IF('CREST Inputs'!$G$75="as generated",'Cash Flow'!Y$166,-Y$173))</f>
        <v>0</v>
      </c>
      <c r="Z65" s="40">
        <f>IF(AND('CREST Inputs'!$Q$19="Cost-Based",'CREST Inputs'!$Q$20="Cash Grant",Z$2=1),'CREST Inputs'!$Q$23,IF('CREST Inputs'!$G$75="as generated",'Cash Flow'!Z$166,-Z$173))</f>
        <v>0</v>
      </c>
      <c r="AA65" s="40">
        <f>IF(AND('CREST Inputs'!$Q$19="Cost-Based",'CREST Inputs'!$Q$20="Cash Grant",AA$2=1),'CREST Inputs'!$Q$23,IF('CREST Inputs'!$G$75="as generated",'Cash Flow'!AA$166,-AA$173))</f>
        <v>0</v>
      </c>
      <c r="AB65" s="40">
        <f>IF(AND('CREST Inputs'!$Q$19="Cost-Based",'CREST Inputs'!$Q$20="Cash Grant",AB$2=1),'CREST Inputs'!$Q$23,IF('CREST Inputs'!$G$75="as generated",'Cash Flow'!AB$166,-AB$173))</f>
        <v>0</v>
      </c>
      <c r="AC65" s="40">
        <f>IF(AND('CREST Inputs'!$Q$19="Cost-Based",'CREST Inputs'!$Q$20="Cash Grant",AC$2=1),'CREST Inputs'!$Q$23,IF('CREST Inputs'!$G$75="as generated",'Cash Flow'!AC$166,-AC$173))</f>
        <v>0</v>
      </c>
      <c r="AD65" s="40">
        <f>IF(AND('CREST Inputs'!$Q$19="Cost-Based",'CREST Inputs'!$Q$20="Cash Grant",AD$2=1),'CREST Inputs'!$Q$23,IF('CREST Inputs'!$G$75="as generated",'Cash Flow'!AD$166,-AD$173))</f>
        <v>0</v>
      </c>
      <c r="AE65" s="40">
        <f>IF(AND('CREST Inputs'!$Q$19="Cost-Based",'CREST Inputs'!$Q$20="Cash Grant",AE$2=1),'CREST Inputs'!$Q$23,IF('CREST Inputs'!$G$75="as generated",'Cash Flow'!AE$166,-AE$173))</f>
        <v>0</v>
      </c>
      <c r="AF65" s="40">
        <f>IF(AND('CREST Inputs'!$Q$19="Cost-Based",'CREST Inputs'!$Q$20="Cash Grant",AF$2=1),'CREST Inputs'!$Q$23,IF('CREST Inputs'!$G$75="as generated",'Cash Flow'!AF$166,-AF$173))</f>
        <v>0</v>
      </c>
      <c r="AG65" s="40">
        <f>IF(AND('CREST Inputs'!$Q$19="Cost-Based",'CREST Inputs'!$Q$20="Cash Grant",AG$2=1),'CREST Inputs'!$Q$23,IF('CREST Inputs'!$G$75="as generated",'Cash Flow'!AG$166,-AG$173))</f>
        <v>0</v>
      </c>
      <c r="AH65" s="40">
        <f>IF(AND('CREST Inputs'!$Q$19="Cost-Based",'CREST Inputs'!$Q$20="Cash Grant",AH$2=1),'CREST Inputs'!$Q$23,IF('CREST Inputs'!$G$75="as generated",'Cash Flow'!AH$166,-AH$173))</f>
        <v>0</v>
      </c>
      <c r="AI65" s="40">
        <f>IF(AND('CREST Inputs'!$Q$19="Cost-Based",'CREST Inputs'!$Q$20="Cash Grant",AI$2=1),'CREST Inputs'!$Q$23,IF('CREST Inputs'!$G$75="as generated",'Cash Flow'!AI$166,-AI$173))</f>
        <v>0</v>
      </c>
      <c r="AJ65" s="40">
        <f>IF(AND('CREST Inputs'!$Q$19="Cost-Based",'CREST Inputs'!$Q$20="Cash Grant",AJ$2=1),'CREST Inputs'!$Q$23,IF('CREST Inputs'!$G$75="as generated",'Cash Flow'!AJ$166,-AJ$173))</f>
        <v>0</v>
      </c>
    </row>
    <row r="66" spans="2:36" s="27" customFormat="1" ht="15">
      <c r="B66" s="37" t="s">
        <v>128</v>
      </c>
      <c r="C66" s="37"/>
      <c r="D66" s="37"/>
      <c r="E66" s="152"/>
      <c r="F66" s="38"/>
      <c r="G66" s="41">
        <f>IF('CREST Inputs'!$G$77="as generated",'Cash Flow'!G$180,-G$187)</f>
        <v>0</v>
      </c>
      <c r="H66" s="41">
        <f>IF('CREST Inputs'!$G$77="as generated",'Cash Flow'!H$180,-H$187)</f>
        <v>0</v>
      </c>
      <c r="I66" s="41">
        <f>IF('CREST Inputs'!$G$77="as generated",'Cash Flow'!I$180,-I$187)</f>
        <v>0</v>
      </c>
      <c r="J66" s="41">
        <f>IF('CREST Inputs'!$G$77="as generated",'Cash Flow'!J$180,-J$187)</f>
        <v>0</v>
      </c>
      <c r="K66" s="41">
        <f>IF('CREST Inputs'!$G$77="as generated",'Cash Flow'!K$180,-K$187)</f>
        <v>0</v>
      </c>
      <c r="L66" s="41">
        <f>IF('CREST Inputs'!$G$77="as generated",'Cash Flow'!L$180,-L$187)</f>
        <v>0</v>
      </c>
      <c r="M66" s="41">
        <f>IF('CREST Inputs'!$G$77="as generated",'Cash Flow'!M$180,-M$187)</f>
        <v>0</v>
      </c>
      <c r="N66" s="41">
        <f>IF('CREST Inputs'!$G$77="as generated",'Cash Flow'!N$180,-N$187)</f>
        <v>0</v>
      </c>
      <c r="O66" s="41">
        <f>IF('CREST Inputs'!$G$77="as generated",'Cash Flow'!O$180,-O$187)</f>
        <v>0</v>
      </c>
      <c r="P66" s="41">
        <f>IF('CREST Inputs'!$G$77="as generated",'Cash Flow'!P$180,-P$187)</f>
        <v>0</v>
      </c>
      <c r="Q66" s="41">
        <f>IF('CREST Inputs'!$G$77="as generated",'Cash Flow'!Q$180,-Q$187)</f>
        <v>0</v>
      </c>
      <c r="R66" s="41">
        <f>IF('CREST Inputs'!$G$77="as generated",'Cash Flow'!R$180,-R$187)</f>
        <v>0</v>
      </c>
      <c r="S66" s="41">
        <f>IF('CREST Inputs'!$G$77="as generated",'Cash Flow'!S$180,-S$187)</f>
        <v>0</v>
      </c>
      <c r="T66" s="41">
        <f>IF('CREST Inputs'!$G$77="as generated",'Cash Flow'!T$180,-T$187)</f>
        <v>0</v>
      </c>
      <c r="U66" s="41">
        <f>IF('CREST Inputs'!$G$77="as generated",'Cash Flow'!U$180,-U$187)</f>
        <v>0</v>
      </c>
      <c r="V66" s="41">
        <f>IF('CREST Inputs'!$G$77="as generated",'Cash Flow'!V$180,-V$187)</f>
        <v>0</v>
      </c>
      <c r="W66" s="41">
        <f>IF('CREST Inputs'!$G$77="as generated",'Cash Flow'!W$180,-W$187)</f>
        <v>0</v>
      </c>
      <c r="X66" s="41">
        <f>IF('CREST Inputs'!$G$77="as generated",'Cash Flow'!X$180,-X$187)</f>
        <v>0</v>
      </c>
      <c r="Y66" s="41">
        <f>IF('CREST Inputs'!$G$77="as generated",'Cash Flow'!Y$180,-Y$187)</f>
        <v>0</v>
      </c>
      <c r="Z66" s="41">
        <f>IF('CREST Inputs'!$G$77="as generated",'Cash Flow'!Z$180,-Z$187)</f>
        <v>0</v>
      </c>
      <c r="AA66" s="41">
        <f>IF('CREST Inputs'!$G$77="as generated",'Cash Flow'!AA$180,-AA$187)</f>
        <v>0</v>
      </c>
      <c r="AB66" s="41">
        <f>IF('CREST Inputs'!$G$77="as generated",'Cash Flow'!AB$180,-AB$187)</f>
        <v>0</v>
      </c>
      <c r="AC66" s="41">
        <f>IF('CREST Inputs'!$G$77="as generated",'Cash Flow'!AC$180,-AC$187)</f>
        <v>0</v>
      </c>
      <c r="AD66" s="41">
        <f>IF('CREST Inputs'!$G$77="as generated",'Cash Flow'!AD$180,-AD$187)</f>
        <v>0</v>
      </c>
      <c r="AE66" s="41">
        <f>IF('CREST Inputs'!$G$77="as generated",'Cash Flow'!AE$180,-AE$187)</f>
        <v>0</v>
      </c>
      <c r="AF66" s="41">
        <f>IF('CREST Inputs'!$G$77="as generated",'Cash Flow'!AF$180,-AF$187)</f>
        <v>0</v>
      </c>
      <c r="AG66" s="41">
        <f>IF('CREST Inputs'!$G$77="as generated",'Cash Flow'!AG$180,-AG$187)</f>
        <v>0</v>
      </c>
      <c r="AH66" s="41">
        <f>IF('CREST Inputs'!$G$77="as generated",'Cash Flow'!AH$180,-AH$187)</f>
        <v>0</v>
      </c>
      <c r="AI66" s="41">
        <f>IF('CREST Inputs'!$G$77="as generated",'Cash Flow'!AI$180,-AI$187)</f>
        <v>0</v>
      </c>
      <c r="AJ66" s="41">
        <f>IF('CREST Inputs'!$G$77="as generated",'Cash Flow'!AJ$180,-AJ$187)</f>
        <v>0</v>
      </c>
    </row>
    <row r="67" spans="2:36" s="27" customFormat="1" ht="15.75">
      <c r="B67" s="32" t="s">
        <v>127</v>
      </c>
      <c r="C67" s="32"/>
      <c r="D67" s="32"/>
      <c r="E67" s="51"/>
      <c r="F67" s="43">
        <f aca="true" t="shared" si="20" ref="F67:AJ67">F54+SUM(F63:F66)</f>
        <v>-2560428.57500372</v>
      </c>
      <c r="G67" s="43">
        <f>G54+SUM(G63:G66)</f>
        <v>2058370.6230224867</v>
      </c>
      <c r="H67" s="43">
        <f t="shared" si="20"/>
        <v>-7800.271260812791</v>
      </c>
      <c r="I67" s="43">
        <f t="shared" si="20"/>
        <v>-13571.29240278415</v>
      </c>
      <c r="J67" s="43">
        <f t="shared" si="20"/>
        <v>-19598.13981060029</v>
      </c>
      <c r="K67" s="43">
        <f t="shared" si="20"/>
        <v>-25895.056977265936</v>
      </c>
      <c r="L67" s="43">
        <f t="shared" si="20"/>
        <v>403077.9120326621</v>
      </c>
      <c r="M67" s="43">
        <f t="shared" si="20"/>
        <v>254600.32203388168</v>
      </c>
      <c r="N67" s="43">
        <f t="shared" si="20"/>
        <v>252675.51278612594</v>
      </c>
      <c r="O67" s="43">
        <f t="shared" si="20"/>
        <v>250731.02993701163</v>
      </c>
      <c r="P67" s="43">
        <f t="shared" si="20"/>
        <v>304294.83463156817</v>
      </c>
      <c r="Q67" s="43">
        <f t="shared" si="20"/>
        <v>311139.36916470726</v>
      </c>
      <c r="R67" s="43">
        <f t="shared" si="20"/>
        <v>295935.5429632319</v>
      </c>
      <c r="S67" s="43">
        <f t="shared" si="20"/>
        <v>285770.8125371279</v>
      </c>
      <c r="T67" s="43">
        <f t="shared" si="20"/>
        <v>283174.6877857062</v>
      </c>
      <c r="U67" s="43">
        <f t="shared" si="20"/>
        <v>274865.88788859156</v>
      </c>
      <c r="V67" s="43">
        <f t="shared" si="20"/>
        <v>-8465.872574427282</v>
      </c>
      <c r="W67" s="43">
        <f t="shared" si="20"/>
        <v>-8652.42410082669</v>
      </c>
      <c r="X67" s="43">
        <f t="shared" si="20"/>
        <v>-8856.576651307812</v>
      </c>
      <c r="Y67" s="43">
        <f t="shared" si="20"/>
        <v>-9078.405964009256</v>
      </c>
      <c r="Z67" s="43">
        <f t="shared" si="20"/>
        <v>-9318.002078309208</v>
      </c>
      <c r="AA67" s="43">
        <f t="shared" si="20"/>
        <v>-9575.469219760704</v>
      </c>
      <c r="AB67" s="43">
        <f t="shared" si="20"/>
        <v>-9850.925697455747</v>
      </c>
      <c r="AC67" s="43">
        <f t="shared" si="20"/>
        <v>-10144.503813561554</v>
      </c>
      <c r="AD67" s="43">
        <f t="shared" si="20"/>
        <v>-10456.349784784845</v>
      </c>
      <c r="AE67" s="43">
        <f t="shared" si="20"/>
        <v>32372.514191075057</v>
      </c>
      <c r="AF67" s="43">
        <f t="shared" si="20"/>
        <v>8.843308023642749E-13</v>
      </c>
      <c r="AG67" s="43">
        <f t="shared" si="20"/>
        <v>0</v>
      </c>
      <c r="AH67" s="43">
        <f t="shared" si="20"/>
        <v>0</v>
      </c>
      <c r="AI67" s="43">
        <f t="shared" si="20"/>
        <v>0</v>
      </c>
      <c r="AJ67" s="43">
        <f t="shared" si="20"/>
        <v>0</v>
      </c>
    </row>
    <row r="68" spans="2:36" s="27" customFormat="1" ht="15.75">
      <c r="B68" s="53" t="s">
        <v>126</v>
      </c>
      <c r="C68" s="53"/>
      <c r="D68" s="53"/>
      <c r="E68" s="51"/>
      <c r="F68" s="43"/>
      <c r="G68" s="189">
        <f>IF(ISERROR(IRR($F67:G67)),"NA",IRR($F67:G67))</f>
        <v>-0.19608356072986888</v>
      </c>
      <c r="H68" s="189">
        <f>IF(ISERROR(IRR($F67:H67)),"NA",IRR($F67:H67))</f>
        <v>-0.1998911312544901</v>
      </c>
      <c r="I68" s="189">
        <f>IF(ISERROR(IRR($F67:I67)),"NA",IRR($F67:I67))</f>
        <v>-0.2083903766590427</v>
      </c>
      <c r="J68" s="189">
        <f>IF(ISERROR(IRR($F67:J67)),"NA",IRR($F67:J67))</f>
        <v>-0.22531141816079991</v>
      </c>
      <c r="K68" s="189">
        <f>IF(ISERROR(IRR($F67:K67)),"NA",IRR($F67:K67))</f>
        <v>-0.2635336685852908</v>
      </c>
      <c r="L68" s="189">
        <f>IF(ISERROR(IRR($F67:L67)),"NA",IRR($F67:L67))</f>
        <v>-0.03605441446057689</v>
      </c>
      <c r="M68" s="189">
        <f>IF(ISERROR(IRR($F67:M67)),"NA",IRR($F67:M67))</f>
        <v>0.01545461457099373</v>
      </c>
      <c r="N68" s="189">
        <f>IF(ISERROR(IRR($F67:N67)),"NA",IRR($F67:N67))</f>
        <v>0.04956869671687958</v>
      </c>
      <c r="O68" s="189">
        <f>IF(ISERROR(IRR($F67:O67)),"NA",IRR($F67:O67))</f>
        <v>0.07356286669040135</v>
      </c>
      <c r="P68" s="189">
        <f>IF(ISERROR(IRR($F67:P67)),"NA",IRR($F67:P67))</f>
        <v>0.09454410731627427</v>
      </c>
      <c r="Q68" s="189">
        <f>IF(ISERROR(IRR($F67:Q67)),"NA",IRR($F67:Q67))</f>
        <v>0.11015860900422703</v>
      </c>
      <c r="R68" s="189">
        <f>IF(ISERROR(IRR($F67:R67)),"NA",IRR($F67:R67))</f>
        <v>0.12131634196348706</v>
      </c>
      <c r="S68" s="189">
        <f>IF(ISERROR(IRR($F67:S67)),"NA",IRR($F67:S67))</f>
        <v>0.12963452199215242</v>
      </c>
      <c r="T68" s="189">
        <f>IF(ISERROR(IRR($F67:T67)),"NA",IRR($F67:T67))</f>
        <v>0.1361109751927474</v>
      </c>
      <c r="U68" s="189">
        <f>IF(ISERROR(IRR($F67:U67)),"NA",IRR($F67:U67))</f>
        <v>0.14111706463394857</v>
      </c>
      <c r="V68" s="189">
        <f>IF(ISERROR(IRR($F67:V67)),"NA",IRR($F67:V67))</f>
        <v>0.14098774152883875</v>
      </c>
      <c r="W68" s="189">
        <f>IF(ISERROR(IRR($F67:W67)),"NA",IRR($F67:W67))</f>
        <v>0.14087160711802538</v>
      </c>
      <c r="X68" s="189">
        <f>IF(ISERROR(IRR($F67:X67)),"NA",IRR($F67:X67))</f>
        <v>0.14076715309616428</v>
      </c>
      <c r="Y68" s="189">
        <f>IF(ISERROR(IRR($F67:Y67)),"NA",IRR($F67:Y67))</f>
        <v>0.14067306952823766</v>
      </c>
      <c r="Z68" s="189">
        <f>IF(ISERROR(IRR($F67:Z67)),"NA",IRR($F67:Z67))</f>
        <v>0.14058821528148147</v>
      </c>
      <c r="AA68" s="189">
        <f>IF(ISERROR(IRR($F67:AA67)),"NA",IRR($F67:AA67))</f>
        <v>0.140511593284516</v>
      </c>
      <c r="AB68" s="189">
        <f>IF(ISERROR(IRR($F67:AB67)),"NA",IRR($F67:AB67))</f>
        <v>0.14044232976914706</v>
      </c>
      <c r="AC68" s="189">
        <f>IF(ISERROR(IRR($F67:AC67)),"NA",IRR($F67:AC67))</f>
        <v>0.14037965680903053</v>
      </c>
      <c r="AD68" s="189">
        <f>IF(ISERROR(IRR($F67:AD67)),"NA",IRR($F67:AD67))</f>
        <v>0.14032289759542338</v>
      </c>
      <c r="AE68" s="189">
        <f>IF(ISERROR(IRR($F67:AE67)),"NA",IRR($F67:AE67))</f>
        <v>0.14047672388341748</v>
      </c>
      <c r="AF68" s="189">
        <f>IF(ISERROR(IRR($F67:AF67)),"NA",IRR($F67:AF67))</f>
        <v>0.14047672388341748</v>
      </c>
      <c r="AG68" s="189">
        <f>IF(ISERROR(IRR($F67:AG67)),"NA",IRR($F67:AG67))</f>
        <v>0.14047672388341748</v>
      </c>
      <c r="AH68" s="189">
        <f>IF(ISERROR(IRR($F67:AH67)),"NA",IRR($F67:AH67))</f>
        <v>0.14047672388341748</v>
      </c>
      <c r="AI68" s="189">
        <f>IF(ISERROR(IRR($F67:AI67)),"NA",IRR($F67:AI67))</f>
        <v>0.14047672388341748</v>
      </c>
      <c r="AJ68" s="189">
        <f>IF(ISERROR(IRR($F67:AJ67)),"NA",IRR($F67:AJ67))</f>
        <v>0.14047672388341748</v>
      </c>
    </row>
    <row r="69" spans="2:36" s="27" customFormat="1" ht="16.5" thickBot="1">
      <c r="B69" s="32"/>
      <c r="C69" s="32"/>
      <c r="D69" s="32"/>
      <c r="E69" s="55"/>
      <c r="F69" s="198"/>
      <c r="G69" s="198"/>
      <c r="H69" s="198"/>
      <c r="I69" s="198"/>
      <c r="J69" s="198"/>
      <c r="K69" s="198"/>
      <c r="L69" s="198"/>
      <c r="M69" s="198"/>
      <c r="N69" s="43"/>
      <c r="O69" s="43"/>
      <c r="P69" s="43"/>
      <c r="Q69" s="43"/>
      <c r="R69" s="43"/>
      <c r="S69" s="43"/>
      <c r="T69" s="43"/>
      <c r="U69" s="43"/>
      <c r="V69" s="43"/>
      <c r="W69" s="43"/>
      <c r="X69" s="43"/>
      <c r="Y69" s="43"/>
      <c r="Z69" s="43"/>
      <c r="AA69" s="43"/>
      <c r="AB69" s="43"/>
      <c r="AC69" s="43"/>
      <c r="AD69" s="43"/>
      <c r="AE69" s="43"/>
      <c r="AF69" s="43"/>
      <c r="AG69" s="43"/>
      <c r="AH69" s="43"/>
      <c r="AI69" s="43"/>
      <c r="AJ69" s="43"/>
    </row>
    <row r="70" spans="2:36" s="27" customFormat="1" ht="16.5" thickBot="1">
      <c r="B70" s="646" t="s">
        <v>285</v>
      </c>
      <c r="C70" s="647"/>
      <c r="D70" s="305">
        <f>IRR(F54:AJ54)</f>
        <v>0.05970715788722192</v>
      </c>
      <c r="F70" s="43"/>
      <c r="G70" s="263" t="s">
        <v>152</v>
      </c>
      <c r="H70" s="269"/>
      <c r="I70" s="269"/>
      <c r="J70" s="270"/>
      <c r="K70" s="269"/>
      <c r="L70" s="43"/>
      <c r="O70" s="43"/>
      <c r="P70" s="43"/>
      <c r="Q70" s="43"/>
      <c r="R70" s="43"/>
      <c r="S70" s="43"/>
      <c r="T70" s="43"/>
      <c r="U70" s="43"/>
      <c r="V70" s="43"/>
      <c r="W70" s="43"/>
      <c r="X70" s="43"/>
      <c r="Y70" s="43"/>
      <c r="Z70" s="43"/>
      <c r="AA70" s="43"/>
      <c r="AB70" s="43"/>
      <c r="AC70" s="43"/>
      <c r="AD70" s="43"/>
      <c r="AE70" s="43"/>
      <c r="AF70" s="43"/>
      <c r="AG70" s="43"/>
      <c r="AH70" s="43"/>
      <c r="AI70" s="43"/>
      <c r="AJ70" s="43"/>
    </row>
    <row r="71" spans="2:36" s="27" customFormat="1" ht="32.25" thickBot="1">
      <c r="B71" s="306" t="s">
        <v>286</v>
      </c>
      <c r="C71" s="307"/>
      <c r="D71" s="305">
        <f>IRR(F67:AJ67)</f>
        <v>0.14047672388341748</v>
      </c>
      <c r="F71" s="43"/>
      <c r="G71" s="265" t="s">
        <v>220</v>
      </c>
      <c r="H71" s="271"/>
      <c r="I71" s="267"/>
      <c r="J71" s="268"/>
      <c r="K71" s="268"/>
      <c r="L71" s="43"/>
      <c r="O71" s="43"/>
      <c r="P71" s="43"/>
      <c r="Q71" s="43"/>
      <c r="R71" s="43"/>
      <c r="S71" s="43"/>
      <c r="T71" s="43"/>
      <c r="U71" s="43"/>
      <c r="V71" s="43"/>
      <c r="W71" s="43"/>
      <c r="X71" s="43"/>
      <c r="Y71" s="43"/>
      <c r="Z71" s="43"/>
      <c r="AA71" s="43"/>
      <c r="AB71" s="43"/>
      <c r="AC71" s="43"/>
      <c r="AD71" s="43"/>
      <c r="AE71" s="43"/>
      <c r="AF71" s="43"/>
      <c r="AG71" s="43"/>
      <c r="AH71" s="43"/>
      <c r="AI71" s="43"/>
      <c r="AJ71" s="43"/>
    </row>
    <row r="72" spans="2:11" s="27" customFormat="1" ht="16.5" thickBot="1">
      <c r="B72" s="648">
        <f>'CREST Inputs'!$G$62</f>
        <v>0.14</v>
      </c>
      <c r="C72" s="649"/>
      <c r="D72" s="308">
        <f>NPV('CREST Inputs'!$G$62,'Cash Flow'!F67:AJ67)</f>
        <v>3306.6338324424596</v>
      </c>
      <c r="G72" s="264">
        <f>AVERAGE(R204:S204)</f>
        <v>13.749999999999996</v>
      </c>
      <c r="H72" s="271"/>
      <c r="I72" s="267"/>
      <c r="J72" s="272"/>
      <c r="K72" s="267"/>
    </row>
    <row r="73" spans="2:36" s="27" customFormat="1" ht="16.5" thickBot="1">
      <c r="B73" s="56"/>
      <c r="C73" s="56"/>
      <c r="D73" s="56"/>
      <c r="E73" s="57"/>
      <c r="F73" s="160"/>
      <c r="G73" s="150"/>
      <c r="H73" s="160"/>
      <c r="I73" s="160"/>
      <c r="J73" s="160"/>
      <c r="K73" s="160"/>
      <c r="L73" s="160"/>
      <c r="M73" s="160"/>
      <c r="N73" s="160"/>
      <c r="O73" s="160"/>
      <c r="P73" s="160"/>
      <c r="Q73" s="160"/>
      <c r="R73" s="160"/>
      <c r="S73" s="160"/>
      <c r="T73" s="160"/>
      <c r="U73" s="160"/>
      <c r="V73" s="160"/>
      <c r="W73" s="160"/>
      <c r="X73" s="160"/>
      <c r="Y73" s="160"/>
      <c r="Z73" s="160"/>
      <c r="AA73" s="160"/>
      <c r="AB73" s="160"/>
      <c r="AC73" s="160"/>
      <c r="AD73" s="160"/>
      <c r="AE73" s="160"/>
      <c r="AF73" s="160"/>
      <c r="AG73" s="160"/>
      <c r="AH73" s="160"/>
      <c r="AI73" s="160"/>
      <c r="AJ73" s="160"/>
    </row>
    <row r="74" spans="2:36" s="27" customFormat="1" ht="15.75">
      <c r="B74" s="58"/>
      <c r="C74" s="58"/>
      <c r="D74" s="58"/>
      <c r="E74" s="59"/>
      <c r="F74" s="59"/>
      <c r="G74" s="60"/>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row>
    <row r="75" spans="2:36" s="27" customFormat="1" ht="15">
      <c r="B75" s="61" t="s">
        <v>65</v>
      </c>
      <c r="C75" s="61"/>
      <c r="D75" s="61"/>
      <c r="E75" s="62"/>
      <c r="F75" s="62"/>
      <c r="G75" s="62"/>
      <c r="H75" s="62"/>
      <c r="I75" s="62"/>
      <c r="J75" s="62"/>
      <c r="K75" s="62"/>
      <c r="L75" s="62"/>
      <c r="M75" s="62"/>
      <c r="N75" s="62"/>
      <c r="O75" s="62"/>
      <c r="P75" s="62"/>
      <c r="Q75" s="62"/>
      <c r="R75" s="62"/>
      <c r="S75" s="62"/>
      <c r="T75" s="62"/>
      <c r="U75" s="62"/>
      <c r="V75" s="62"/>
      <c r="W75" s="62"/>
      <c r="X75" s="62"/>
      <c r="Y75" s="62"/>
      <c r="Z75" s="62"/>
      <c r="AA75" s="62"/>
      <c r="AB75" s="62"/>
      <c r="AC75" s="62"/>
      <c r="AD75" s="62"/>
      <c r="AE75" s="62"/>
      <c r="AF75" s="62"/>
      <c r="AG75" s="62"/>
      <c r="AH75" s="62"/>
      <c r="AI75" s="62"/>
      <c r="AJ75" s="62"/>
    </row>
    <row r="76" spans="2:36" s="27" customFormat="1" ht="15.75" thickBot="1">
      <c r="B76" s="76"/>
      <c r="C76" s="76"/>
      <c r="D76" s="76"/>
      <c r="E76" s="76"/>
      <c r="F76" s="76"/>
      <c r="G76" s="76"/>
      <c r="H76" s="76"/>
      <c r="I76" s="76"/>
      <c r="J76" s="76"/>
      <c r="K76" s="76"/>
      <c r="L76" s="76"/>
      <c r="M76" s="76"/>
      <c r="N76" s="76"/>
      <c r="O76" s="76"/>
      <c r="P76" s="76"/>
      <c r="Q76" s="76"/>
      <c r="R76" s="76"/>
      <c r="S76" s="76"/>
      <c r="T76" s="76"/>
      <c r="U76" s="76"/>
      <c r="V76" s="76"/>
      <c r="W76" s="76"/>
      <c r="X76" s="76"/>
      <c r="Y76" s="76"/>
      <c r="Z76" s="76"/>
      <c r="AA76" s="76"/>
      <c r="AB76" s="76"/>
      <c r="AC76" s="76"/>
      <c r="AD76" s="76"/>
      <c r="AE76" s="76"/>
      <c r="AF76" s="76"/>
      <c r="AG76" s="76"/>
      <c r="AH76" s="76"/>
      <c r="AI76" s="76"/>
      <c r="AJ76" s="76"/>
    </row>
    <row r="77" spans="2:36" s="27" customFormat="1" ht="15.75">
      <c r="B77" s="95"/>
      <c r="C77" s="95"/>
      <c r="D77" s="95"/>
      <c r="E77" s="95"/>
      <c r="F77" s="110"/>
      <c r="G77" s="120"/>
      <c r="H77" s="121"/>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row>
    <row r="78" spans="2:36" s="27" customFormat="1" ht="15.75">
      <c r="B78" s="94" t="s">
        <v>73</v>
      </c>
      <c r="C78" s="94"/>
      <c r="D78" s="94"/>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row>
    <row r="79" spans="2:36" s="27" customFormat="1" ht="15.75">
      <c r="B79" s="122" t="s">
        <v>75</v>
      </c>
      <c r="C79" s="122"/>
      <c r="D79" s="122"/>
      <c r="E79" s="123"/>
      <c r="F79" s="124"/>
      <c r="G79" s="125"/>
      <c r="H79" s="125"/>
      <c r="I79" s="125"/>
      <c r="J79" s="125"/>
      <c r="K79" s="125"/>
      <c r="L79" s="125"/>
      <c r="M79" s="125"/>
      <c r="N79" s="125"/>
      <c r="O79" s="125"/>
      <c r="P79" s="125"/>
      <c r="Q79" s="125"/>
      <c r="R79" s="125"/>
      <c r="S79" s="125"/>
      <c r="T79" s="125"/>
      <c r="U79" s="125"/>
      <c r="V79" s="125"/>
      <c r="W79" s="125"/>
      <c r="X79" s="125"/>
      <c r="Y79" s="125"/>
      <c r="Z79" s="125"/>
      <c r="AA79" s="125"/>
      <c r="AB79" s="125"/>
      <c r="AC79" s="125"/>
      <c r="AD79" s="125"/>
      <c r="AE79" s="125"/>
      <c r="AF79" s="125"/>
      <c r="AG79" s="125"/>
      <c r="AH79" s="125"/>
      <c r="AI79" s="125"/>
      <c r="AJ79" s="125"/>
    </row>
    <row r="80" spans="2:36" s="27" customFormat="1" ht="15">
      <c r="B80" s="123" t="s">
        <v>76</v>
      </c>
      <c r="C80" s="123"/>
      <c r="D80" s="123"/>
      <c r="E80" s="123"/>
      <c r="F80" s="124">
        <f>IF('CREST Inputs'!$G$18="Simple",'CREST Inputs'!$G$26-'CREST Inputs'!$G$69,IF('CREST Inputs'!$G$18="Intermediate",SUM('CREST Inputs'!G20:G23)-'CREST Inputs'!G69,0))</f>
        <v>3503046.258652121</v>
      </c>
      <c r="G80" s="125"/>
      <c r="H80" s="125"/>
      <c r="I80" s="125"/>
      <c r="J80" s="125"/>
      <c r="K80" s="125"/>
      <c r="L80" s="125"/>
      <c r="M80" s="125"/>
      <c r="N80" s="125"/>
      <c r="O80" s="125"/>
      <c r="P80" s="125"/>
      <c r="Q80" s="125"/>
      <c r="R80" s="125"/>
      <c r="S80" s="125"/>
      <c r="T80" s="125"/>
      <c r="U80" s="125"/>
      <c r="V80" s="125"/>
      <c r="W80" s="125"/>
      <c r="X80" s="125"/>
      <c r="Y80" s="125"/>
      <c r="Z80" s="125"/>
      <c r="AA80" s="125"/>
      <c r="AB80" s="125"/>
      <c r="AC80" s="125"/>
      <c r="AD80" s="125"/>
      <c r="AE80" s="125"/>
      <c r="AF80" s="125"/>
      <c r="AG80" s="125"/>
      <c r="AH80" s="125"/>
      <c r="AI80" s="125"/>
      <c r="AJ80" s="125"/>
    </row>
    <row r="81" spans="2:36" s="27" customFormat="1" ht="15">
      <c r="B81" s="123" t="s">
        <v>77</v>
      </c>
      <c r="C81" s="123"/>
      <c r="D81" s="123"/>
      <c r="E81" s="123"/>
      <c r="F81" s="126">
        <f>'CREST Inputs'!$G$51</f>
        <v>0.35</v>
      </c>
      <c r="G81" s="125"/>
      <c r="H81" s="125"/>
      <c r="I81" s="125"/>
      <c r="J81" s="125"/>
      <c r="K81" s="125"/>
      <c r="L81" s="125"/>
      <c r="M81" s="125"/>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row>
    <row r="82" spans="2:36" s="27" customFormat="1" ht="15">
      <c r="B82" s="123" t="s">
        <v>74</v>
      </c>
      <c r="C82" s="123"/>
      <c r="D82" s="123"/>
      <c r="E82" s="123"/>
      <c r="F82" s="127">
        <f>F80*F81</f>
        <v>1226066.1905282422</v>
      </c>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row>
    <row r="83" spans="2:36" s="27" customFormat="1" ht="15">
      <c r="B83" s="128"/>
      <c r="C83" s="128"/>
      <c r="D83" s="128"/>
      <c r="E83" s="128"/>
      <c r="F83" s="129"/>
      <c r="G83" s="125"/>
      <c r="H83" s="125"/>
      <c r="I83" s="125"/>
      <c r="J83" s="125"/>
      <c r="K83" s="125"/>
      <c r="L83" s="125"/>
      <c r="M83" s="125"/>
      <c r="N83" s="125"/>
      <c r="O83" s="125"/>
      <c r="P83" s="125"/>
      <c r="Q83" s="125"/>
      <c r="R83" s="125"/>
      <c r="S83" s="125"/>
      <c r="T83" s="125"/>
      <c r="U83" s="125"/>
      <c r="V83" s="125"/>
      <c r="W83" s="125"/>
      <c r="X83" s="125"/>
      <c r="Y83" s="125"/>
      <c r="Z83" s="125"/>
      <c r="AA83" s="125"/>
      <c r="AB83" s="125"/>
      <c r="AC83" s="125"/>
      <c r="AD83" s="125"/>
      <c r="AE83" s="125"/>
      <c r="AF83" s="125"/>
      <c r="AG83" s="125"/>
      <c r="AH83" s="125"/>
      <c r="AI83" s="125"/>
      <c r="AJ83" s="125"/>
    </row>
    <row r="84" spans="2:36" s="27" customFormat="1" ht="15.75">
      <c r="B84" s="122" t="s">
        <v>107</v>
      </c>
      <c r="C84" s="122"/>
      <c r="D84" s="122"/>
      <c r="E84" s="122"/>
      <c r="F84" s="129"/>
      <c r="G84" s="125"/>
      <c r="H84" s="125"/>
      <c r="I84" s="125"/>
      <c r="J84" s="125"/>
      <c r="K84" s="125"/>
      <c r="L84" s="125"/>
      <c r="M84" s="125"/>
      <c r="N84" s="125"/>
      <c r="O84" s="125"/>
      <c r="P84" s="125"/>
      <c r="Q84" s="125"/>
      <c r="R84" s="125"/>
      <c r="S84" s="125"/>
      <c r="T84" s="125"/>
      <c r="U84" s="125"/>
      <c r="V84" s="125"/>
      <c r="W84" s="125"/>
      <c r="X84" s="125"/>
      <c r="Y84" s="125"/>
      <c r="Z84" s="125"/>
      <c r="AA84" s="125"/>
      <c r="AB84" s="125"/>
      <c r="AC84" s="125"/>
      <c r="AD84" s="125"/>
      <c r="AE84" s="125"/>
      <c r="AF84" s="125"/>
      <c r="AG84" s="125"/>
      <c r="AH84" s="125"/>
      <c r="AI84" s="125"/>
      <c r="AJ84" s="125"/>
    </row>
    <row r="85" spans="2:36" s="27" customFormat="1" ht="15.75">
      <c r="B85" s="130" t="s">
        <v>83</v>
      </c>
      <c r="C85" s="130"/>
      <c r="D85" s="130"/>
      <c r="E85" s="130"/>
      <c r="F85" s="131">
        <v>0</v>
      </c>
      <c r="G85" s="132">
        <f>SUM(G86:G87)</f>
        <v>-291063.7003217858</v>
      </c>
      <c r="H85" s="132">
        <f aca="true" t="shared" si="21" ref="H85:AJ85">SUM(H86:H87)</f>
        <v>-291063.7003217858</v>
      </c>
      <c r="I85" s="132">
        <f t="shared" si="21"/>
        <v>-291063.70032178576</v>
      </c>
      <c r="J85" s="132">
        <f t="shared" si="21"/>
        <v>-291063.7003217858</v>
      </c>
      <c r="K85" s="132">
        <f t="shared" si="21"/>
        <v>-291063.70032178576</v>
      </c>
      <c r="L85" s="132">
        <f t="shared" si="21"/>
        <v>0</v>
      </c>
      <c r="M85" s="132">
        <f t="shared" si="21"/>
        <v>0</v>
      </c>
      <c r="N85" s="132">
        <f t="shared" si="21"/>
        <v>0</v>
      </c>
      <c r="O85" s="132">
        <f t="shared" si="21"/>
        <v>0</v>
      </c>
      <c r="P85" s="132">
        <f t="shared" si="21"/>
        <v>0</v>
      </c>
      <c r="Q85" s="132">
        <f t="shared" si="21"/>
        <v>0</v>
      </c>
      <c r="R85" s="132">
        <f t="shared" si="21"/>
        <v>0</v>
      </c>
      <c r="S85" s="132">
        <f t="shared" si="21"/>
        <v>0</v>
      </c>
      <c r="T85" s="132">
        <f t="shared" si="21"/>
        <v>0</v>
      </c>
      <c r="U85" s="132">
        <f t="shared" si="21"/>
        <v>0</v>
      </c>
      <c r="V85" s="132">
        <f t="shared" si="21"/>
        <v>0</v>
      </c>
      <c r="W85" s="132">
        <f t="shared" si="21"/>
        <v>0</v>
      </c>
      <c r="X85" s="132">
        <f t="shared" si="21"/>
        <v>0</v>
      </c>
      <c r="Y85" s="132">
        <f t="shared" si="21"/>
        <v>0</v>
      </c>
      <c r="Z85" s="132">
        <f t="shared" si="21"/>
        <v>0</v>
      </c>
      <c r="AA85" s="132">
        <f t="shared" si="21"/>
        <v>0</v>
      </c>
      <c r="AB85" s="132">
        <f t="shared" si="21"/>
        <v>0</v>
      </c>
      <c r="AC85" s="132">
        <f t="shared" si="21"/>
        <v>0</v>
      </c>
      <c r="AD85" s="132">
        <f t="shared" si="21"/>
        <v>0</v>
      </c>
      <c r="AE85" s="132">
        <f t="shared" si="21"/>
        <v>0</v>
      </c>
      <c r="AF85" s="132">
        <f t="shared" si="21"/>
        <v>0</v>
      </c>
      <c r="AG85" s="132">
        <f t="shared" si="21"/>
        <v>0</v>
      </c>
      <c r="AH85" s="132">
        <f t="shared" si="21"/>
        <v>0</v>
      </c>
      <c r="AI85" s="132">
        <f t="shared" si="21"/>
        <v>0</v>
      </c>
      <c r="AJ85" s="132">
        <f t="shared" si="21"/>
        <v>0</v>
      </c>
    </row>
    <row r="86" spans="2:36" s="36" customFormat="1" ht="15.75">
      <c r="B86" s="133" t="s">
        <v>81</v>
      </c>
      <c r="C86" s="133"/>
      <c r="D86" s="133"/>
      <c r="E86" s="133"/>
      <c r="F86" s="131">
        <v>0</v>
      </c>
      <c r="G86" s="132">
        <f>IF(G$2&gt;'CREST Inputs'!$G$52,0,IPMT('CREST Inputs'!$G$53,G$2,'CREST Inputs'!$G$52,$F$82))</f>
        <v>-73563.97143169453</v>
      </c>
      <c r="H86" s="132">
        <f>IF(H$2&gt;'CREST Inputs'!$G$52,0,IPMT('CREST Inputs'!$G$53,H$2,'CREST Inputs'!$G$52,$F$82))</f>
        <v>-60513.98769828905</v>
      </c>
      <c r="I86" s="132">
        <f>IF(I$2&gt;'CREST Inputs'!$G$52,0,IPMT('CREST Inputs'!$G$53,I$2,'CREST Inputs'!$G$52,$F$82))</f>
        <v>-46681.00494087923</v>
      </c>
      <c r="J86" s="132">
        <f>IF(J$2&gt;'CREST Inputs'!$G$52,0,IPMT('CREST Inputs'!$G$53,J$2,'CREST Inputs'!$G$52,$F$82))</f>
        <v>-32018.04321802485</v>
      </c>
      <c r="K86" s="132">
        <f>IF(K$2&gt;'CREST Inputs'!$G$52,0,IPMT('CREST Inputs'!$G$53,K$2,'CREST Inputs'!$G$52,$F$82))</f>
        <v>-16475.303791799193</v>
      </c>
      <c r="L86" s="132">
        <f>IF(L$2&gt;'CREST Inputs'!$G$52,0,IPMT('CREST Inputs'!$G$53,L$2,'CREST Inputs'!$G$52,$F$82))</f>
        <v>0</v>
      </c>
      <c r="M86" s="132">
        <f>IF(M$2&gt;'CREST Inputs'!$G$52,0,IPMT('CREST Inputs'!$G$53,M$2,'CREST Inputs'!$G$52,$F$82))</f>
        <v>0</v>
      </c>
      <c r="N86" s="132">
        <f>IF(N$2&gt;'CREST Inputs'!$G$52,0,IPMT('CREST Inputs'!$G$53,N$2,'CREST Inputs'!$G$52,$F$82))</f>
        <v>0</v>
      </c>
      <c r="O86" s="132">
        <f>IF(O$2&gt;'CREST Inputs'!$G$52,0,IPMT('CREST Inputs'!$G$53,O$2,'CREST Inputs'!$G$52,$F$82))</f>
        <v>0</v>
      </c>
      <c r="P86" s="132">
        <f>IF(P$2&gt;'CREST Inputs'!$G$52,0,IPMT('CREST Inputs'!$G$53,P$2,'CREST Inputs'!$G$52,$F$82))</f>
        <v>0</v>
      </c>
      <c r="Q86" s="132">
        <f>IF(Q$2&gt;'CREST Inputs'!$G$52,0,IPMT('CREST Inputs'!$G$53,Q$2,'CREST Inputs'!$G$52,$F$82))</f>
        <v>0</v>
      </c>
      <c r="R86" s="132">
        <f>IF(R$2&gt;'CREST Inputs'!$G$52,0,IPMT('CREST Inputs'!$G$53,R$2,'CREST Inputs'!$G$52,$F$82))</f>
        <v>0</v>
      </c>
      <c r="S86" s="132">
        <f>IF(S$2&gt;'CREST Inputs'!$G$52,0,IPMT('CREST Inputs'!$G$53,S$2,'CREST Inputs'!$G$52,$F$82))</f>
        <v>0</v>
      </c>
      <c r="T86" s="132">
        <f>IF(T$2&gt;'CREST Inputs'!$G$52,0,IPMT('CREST Inputs'!$G$53,T$2,'CREST Inputs'!$G$52,$F$82))</f>
        <v>0</v>
      </c>
      <c r="U86" s="132">
        <f>IF(U$2&gt;'CREST Inputs'!$G$52,0,IPMT('CREST Inputs'!$G$53,U$2,'CREST Inputs'!$G$52,$F$82))</f>
        <v>0</v>
      </c>
      <c r="V86" s="132">
        <f>IF(V$2&gt;'CREST Inputs'!$G$52,0,IPMT('CREST Inputs'!$G$53,V$2,'CREST Inputs'!$G$52,$F$82))</f>
        <v>0</v>
      </c>
      <c r="W86" s="132">
        <f>IF(W$2&gt;'CREST Inputs'!$G$52,0,IPMT('CREST Inputs'!$G$53,W$2,'CREST Inputs'!$G$52,$F$82))</f>
        <v>0</v>
      </c>
      <c r="X86" s="132">
        <f>IF(X$2&gt;'CREST Inputs'!$G$52,0,IPMT('CREST Inputs'!$G$53,X$2,'CREST Inputs'!$G$52,$F$82))</f>
        <v>0</v>
      </c>
      <c r="Y86" s="132">
        <f>IF(Y$2&gt;'CREST Inputs'!$G$52,0,IPMT('CREST Inputs'!$G$53,Y$2,'CREST Inputs'!$G$52,$F$82))</f>
        <v>0</v>
      </c>
      <c r="Z86" s="132">
        <f>IF(Z$2&gt;'CREST Inputs'!$G$52,0,IPMT('CREST Inputs'!$G$53,Z$2,'CREST Inputs'!$G$52,$F$82))</f>
        <v>0</v>
      </c>
      <c r="AA86" s="132">
        <f>IF(AA$2&gt;'CREST Inputs'!$G$52,0,IPMT('CREST Inputs'!$G$53,AA$2,'CREST Inputs'!$G$52,$F$82))</f>
        <v>0</v>
      </c>
      <c r="AB86" s="132">
        <f>IF(AB$2&gt;'CREST Inputs'!$G$52,0,IPMT('CREST Inputs'!$G$53,AB$2,'CREST Inputs'!$G$52,$F$82))</f>
        <v>0</v>
      </c>
      <c r="AC86" s="132">
        <f>IF(AC$2&gt;'CREST Inputs'!$G$52,0,IPMT('CREST Inputs'!$G$53,AC$2,'CREST Inputs'!$G$52,$F$82))</f>
        <v>0</v>
      </c>
      <c r="AD86" s="132">
        <f>IF(AD$2&gt;'CREST Inputs'!$G$52,0,IPMT('CREST Inputs'!$G$53,AD$2,'CREST Inputs'!$G$52,$F$82))</f>
        <v>0</v>
      </c>
      <c r="AE86" s="132">
        <f>IF(AE$2&gt;'CREST Inputs'!$G$52,0,IPMT('CREST Inputs'!$G$53,AE$2,'CREST Inputs'!$G$52,$F$82))</f>
        <v>0</v>
      </c>
      <c r="AF86" s="132">
        <f>IF(AF$2&gt;'CREST Inputs'!$G$52,0,IPMT('CREST Inputs'!$G$53,AF$2,'CREST Inputs'!$G$52,$F$82))</f>
        <v>0</v>
      </c>
      <c r="AG86" s="132">
        <f>IF(AG$2&gt;'CREST Inputs'!$G$52,0,IPMT('CREST Inputs'!$G$53,AG$2,'CREST Inputs'!$G$52,$F$82))</f>
        <v>0</v>
      </c>
      <c r="AH86" s="132">
        <f>IF(AH$2&gt;'CREST Inputs'!$G$52,0,IPMT('CREST Inputs'!$G$53,AH$2,'CREST Inputs'!$G$52,$F$82))</f>
        <v>0</v>
      </c>
      <c r="AI86" s="132">
        <f>IF(AI$2&gt;'CREST Inputs'!$G$52,0,IPMT('CREST Inputs'!$G$53,AI$2,'CREST Inputs'!$G$52,$F$82))</f>
        <v>0</v>
      </c>
      <c r="AJ86" s="132">
        <f>IF(AJ$2&gt;'CREST Inputs'!$G$52,0,IPMT('CREST Inputs'!$G$53,AJ$2,'CREST Inputs'!$G$52,$F$82))</f>
        <v>0</v>
      </c>
    </row>
    <row r="87" spans="2:36" s="27" customFormat="1" ht="15">
      <c r="B87" s="130" t="s">
        <v>82</v>
      </c>
      <c r="C87" s="130"/>
      <c r="D87" s="130"/>
      <c r="E87" s="130"/>
      <c r="F87" s="134">
        <f>MIN(MAX(0,F85-F86),F$90)</f>
        <v>0</v>
      </c>
      <c r="G87" s="132">
        <f>IF(G$2&gt;'CREST Inputs'!$G$52,0,PPMT('CREST Inputs'!$G$53,G$2,'CREST Inputs'!$G$52,$F$82))</f>
        <v>-217499.7288900913</v>
      </c>
      <c r="H87" s="132">
        <f>IF(H$2&gt;'CREST Inputs'!$G$52,0,PPMT('CREST Inputs'!$G$53,H$2,'CREST Inputs'!$G$52,$F$82))</f>
        <v>-230549.71262349674</v>
      </c>
      <c r="I87" s="132">
        <f>IF(I$2&gt;'CREST Inputs'!$G$52,0,PPMT('CREST Inputs'!$G$53,I$2,'CREST Inputs'!$G$52,$F$82))</f>
        <v>-244382.69538090655</v>
      </c>
      <c r="J87" s="132">
        <f>IF(J$2&gt;'CREST Inputs'!$G$52,0,PPMT('CREST Inputs'!$G$53,J$2,'CREST Inputs'!$G$52,$F$82))</f>
        <v>-259045.65710376095</v>
      </c>
      <c r="K87" s="132">
        <f>IF(K$2&gt;'CREST Inputs'!$G$52,0,PPMT('CREST Inputs'!$G$53,K$2,'CREST Inputs'!$G$52,$F$82))</f>
        <v>-274588.3965299866</v>
      </c>
      <c r="L87" s="132">
        <f>IF(L$2&gt;'CREST Inputs'!$G$52,0,PPMT('CREST Inputs'!$G$53,L$2,'CREST Inputs'!$G$52,$F$82))</f>
        <v>0</v>
      </c>
      <c r="M87" s="132">
        <f>IF(M$2&gt;'CREST Inputs'!$G$52,0,PPMT('CREST Inputs'!$G$53,M$2,'CREST Inputs'!$G$52,$F$82))</f>
        <v>0</v>
      </c>
      <c r="N87" s="132">
        <f>IF(N$2&gt;'CREST Inputs'!$G$52,0,PPMT('CREST Inputs'!$G$53,N$2,'CREST Inputs'!$G$52,$F$82))</f>
        <v>0</v>
      </c>
      <c r="O87" s="132">
        <f>IF(O$2&gt;'CREST Inputs'!$G$52,0,PPMT('CREST Inputs'!$G$53,O$2,'CREST Inputs'!$G$52,$F$82))</f>
        <v>0</v>
      </c>
      <c r="P87" s="132">
        <f>IF(P$2&gt;'CREST Inputs'!$G$52,0,PPMT('CREST Inputs'!$G$53,P$2,'CREST Inputs'!$G$52,$F$82))</f>
        <v>0</v>
      </c>
      <c r="Q87" s="132">
        <f>IF(Q$2&gt;'CREST Inputs'!$G$52,0,PPMT('CREST Inputs'!$G$53,Q$2,'CREST Inputs'!$G$52,$F$82))</f>
        <v>0</v>
      </c>
      <c r="R87" s="132">
        <f>IF(R$2&gt;'CREST Inputs'!$G$52,0,PPMT('CREST Inputs'!$G$53,R$2,'CREST Inputs'!$G$52,$F$82))</f>
        <v>0</v>
      </c>
      <c r="S87" s="132">
        <f>IF(S$2&gt;'CREST Inputs'!$G$52,0,PPMT('CREST Inputs'!$G$53,S$2,'CREST Inputs'!$G$52,$F$82))</f>
        <v>0</v>
      </c>
      <c r="T87" s="132">
        <f>IF(T$2&gt;'CREST Inputs'!$G$52,0,PPMT('CREST Inputs'!$G$53,T$2,'CREST Inputs'!$G$52,$F$82))</f>
        <v>0</v>
      </c>
      <c r="U87" s="132">
        <f>IF(U$2&gt;'CREST Inputs'!$G$52,0,PPMT('CREST Inputs'!$G$53,U$2,'CREST Inputs'!$G$52,$F$82))</f>
        <v>0</v>
      </c>
      <c r="V87" s="132">
        <f>IF(V$2&gt;'CREST Inputs'!$G$52,0,PPMT('CREST Inputs'!$G$53,V$2,'CREST Inputs'!$G$52,$F$82))</f>
        <v>0</v>
      </c>
      <c r="W87" s="132">
        <f>IF(W$2&gt;'CREST Inputs'!$G$52,0,PPMT('CREST Inputs'!$G$53,W$2,'CREST Inputs'!$G$52,$F$82))</f>
        <v>0</v>
      </c>
      <c r="X87" s="132">
        <f>IF(X$2&gt;'CREST Inputs'!$G$52,0,PPMT('CREST Inputs'!$G$53,X$2,'CREST Inputs'!$G$52,$F$82))</f>
        <v>0</v>
      </c>
      <c r="Y87" s="132">
        <f>IF(Y$2&gt;'CREST Inputs'!$G$52,0,PPMT('CREST Inputs'!$G$53,Y$2,'CREST Inputs'!$G$52,$F$82))</f>
        <v>0</v>
      </c>
      <c r="Z87" s="132">
        <f>IF(Z$2&gt;'CREST Inputs'!$G$52,0,PPMT('CREST Inputs'!$G$53,Z$2,'CREST Inputs'!$G$52,$F$82))</f>
        <v>0</v>
      </c>
      <c r="AA87" s="132">
        <f>IF(AA$2&gt;'CREST Inputs'!$G$52,0,PPMT('CREST Inputs'!$G$53,AA$2,'CREST Inputs'!$G$52,$F$82))</f>
        <v>0</v>
      </c>
      <c r="AB87" s="132">
        <f>IF(AB$2&gt;'CREST Inputs'!$G$52,0,PPMT('CREST Inputs'!$G$53,AB$2,'CREST Inputs'!$G$52,$F$82))</f>
        <v>0</v>
      </c>
      <c r="AC87" s="132">
        <f>IF(AC$2&gt;'CREST Inputs'!$G$52,0,PPMT('CREST Inputs'!$G$53,AC$2,'CREST Inputs'!$G$52,$F$82))</f>
        <v>0</v>
      </c>
      <c r="AD87" s="132">
        <f>IF(AD$2&gt;'CREST Inputs'!$G$52,0,PPMT('CREST Inputs'!$G$53,AD$2,'CREST Inputs'!$G$52,$F$82))</f>
        <v>0</v>
      </c>
      <c r="AE87" s="132">
        <f>IF(AE$2&gt;'CREST Inputs'!$G$52,0,PPMT('CREST Inputs'!$G$53,AE$2,'CREST Inputs'!$G$52,$F$82))</f>
        <v>0</v>
      </c>
      <c r="AF87" s="132">
        <f>IF(AF$2&gt;'CREST Inputs'!$G$52,0,PPMT('CREST Inputs'!$G$53,AF$2,'CREST Inputs'!$G$52,$F$82))</f>
        <v>0</v>
      </c>
      <c r="AG87" s="132">
        <f>IF(AG$2&gt;'CREST Inputs'!$G$52,0,PPMT('CREST Inputs'!$G$53,AG$2,'CREST Inputs'!$G$52,$F$82))</f>
        <v>0</v>
      </c>
      <c r="AH87" s="132">
        <f>IF(AH$2&gt;'CREST Inputs'!$G$52,0,PPMT('CREST Inputs'!$G$53,AH$2,'CREST Inputs'!$G$52,$F$82))</f>
        <v>0</v>
      </c>
      <c r="AI87" s="132">
        <f>IF(AI$2&gt;'CREST Inputs'!$G$52,0,PPMT('CREST Inputs'!$G$53,AI$2,'CREST Inputs'!$G$52,$F$82))</f>
        <v>0</v>
      </c>
      <c r="AJ87" s="132">
        <f>IF(AJ$2&gt;'CREST Inputs'!$G$52,0,PPMT('CREST Inputs'!$G$53,AJ$2,'CREST Inputs'!$G$52,$F$82))</f>
        <v>0</v>
      </c>
    </row>
    <row r="88" spans="2:36" s="27" customFormat="1" ht="15.75">
      <c r="B88" s="122"/>
      <c r="C88" s="122"/>
      <c r="D88" s="122"/>
      <c r="E88" s="122"/>
      <c r="F88" s="129"/>
      <c r="G88" s="125"/>
      <c r="H88" s="125"/>
      <c r="I88" s="125"/>
      <c r="J88" s="125"/>
      <c r="K88" s="125"/>
      <c r="L88" s="125"/>
      <c r="M88" s="125"/>
      <c r="N88" s="125"/>
      <c r="O88" s="125"/>
      <c r="P88" s="125"/>
      <c r="Q88" s="125"/>
      <c r="R88" s="125"/>
      <c r="S88" s="125"/>
      <c r="T88" s="125"/>
      <c r="U88" s="125"/>
      <c r="V88" s="125"/>
      <c r="W88" s="125"/>
      <c r="X88" s="125"/>
      <c r="Y88" s="125"/>
      <c r="Z88" s="125"/>
      <c r="AA88" s="125"/>
      <c r="AB88" s="125"/>
      <c r="AC88" s="125"/>
      <c r="AD88" s="125"/>
      <c r="AE88" s="125"/>
      <c r="AF88" s="125"/>
      <c r="AG88" s="125"/>
      <c r="AH88" s="125"/>
      <c r="AI88" s="125"/>
      <c r="AJ88" s="125"/>
    </row>
    <row r="89" spans="2:36" s="27" customFormat="1" ht="15.75">
      <c r="B89" s="122" t="s">
        <v>106</v>
      </c>
      <c r="C89" s="122"/>
      <c r="D89" s="122"/>
      <c r="E89" s="123"/>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35"/>
      <c r="AD89" s="135"/>
      <c r="AE89" s="135"/>
      <c r="AF89" s="135"/>
      <c r="AG89" s="135"/>
      <c r="AH89" s="135"/>
      <c r="AI89" s="135"/>
      <c r="AJ89" s="135"/>
    </row>
    <row r="90" spans="2:36" s="27" customFormat="1" ht="15.75">
      <c r="B90" s="130" t="s">
        <v>78</v>
      </c>
      <c r="C90" s="130"/>
      <c r="D90" s="130"/>
      <c r="E90" s="130"/>
      <c r="F90" s="136">
        <v>0</v>
      </c>
      <c r="G90" s="134">
        <f aca="true" t="shared" si="22" ref="G90:AJ90">F93</f>
        <v>1226066.1905282422</v>
      </c>
      <c r="H90" s="134">
        <f t="shared" si="22"/>
        <v>1008566.4616381509</v>
      </c>
      <c r="I90" s="134">
        <f t="shared" si="22"/>
        <v>778016.7490146541</v>
      </c>
      <c r="J90" s="134">
        <f t="shared" si="22"/>
        <v>533634.0536337475</v>
      </c>
      <c r="K90" s="134">
        <f t="shared" si="22"/>
        <v>274588.3965299865</v>
      </c>
      <c r="L90" s="134">
        <f t="shared" si="22"/>
        <v>0</v>
      </c>
      <c r="M90" s="134">
        <f t="shared" si="22"/>
        <v>0</v>
      </c>
      <c r="N90" s="134">
        <f t="shared" si="22"/>
        <v>0</v>
      </c>
      <c r="O90" s="134">
        <f t="shared" si="22"/>
        <v>0</v>
      </c>
      <c r="P90" s="134">
        <f t="shared" si="22"/>
        <v>0</v>
      </c>
      <c r="Q90" s="134">
        <f t="shared" si="22"/>
        <v>0</v>
      </c>
      <c r="R90" s="134">
        <f t="shared" si="22"/>
        <v>0</v>
      </c>
      <c r="S90" s="134">
        <f t="shared" si="22"/>
        <v>0</v>
      </c>
      <c r="T90" s="134">
        <f t="shared" si="22"/>
        <v>0</v>
      </c>
      <c r="U90" s="134">
        <f t="shared" si="22"/>
        <v>0</v>
      </c>
      <c r="V90" s="134">
        <f t="shared" si="22"/>
        <v>0</v>
      </c>
      <c r="W90" s="134">
        <f t="shared" si="22"/>
        <v>0</v>
      </c>
      <c r="X90" s="134">
        <f t="shared" si="22"/>
        <v>0</v>
      </c>
      <c r="Y90" s="134">
        <f t="shared" si="22"/>
        <v>0</v>
      </c>
      <c r="Z90" s="134">
        <f t="shared" si="22"/>
        <v>0</v>
      </c>
      <c r="AA90" s="134">
        <f t="shared" si="22"/>
        <v>0</v>
      </c>
      <c r="AB90" s="134">
        <f t="shared" si="22"/>
        <v>0</v>
      </c>
      <c r="AC90" s="134">
        <f t="shared" si="22"/>
        <v>0</v>
      </c>
      <c r="AD90" s="134">
        <f t="shared" si="22"/>
        <v>0</v>
      </c>
      <c r="AE90" s="134">
        <f t="shared" si="22"/>
        <v>0</v>
      </c>
      <c r="AF90" s="134">
        <f t="shared" si="22"/>
        <v>0</v>
      </c>
      <c r="AG90" s="134">
        <f t="shared" si="22"/>
        <v>0</v>
      </c>
      <c r="AH90" s="134">
        <f t="shared" si="22"/>
        <v>0</v>
      </c>
      <c r="AI90" s="134">
        <f t="shared" si="22"/>
        <v>0</v>
      </c>
      <c r="AJ90" s="134">
        <f t="shared" si="22"/>
        <v>0</v>
      </c>
    </row>
    <row r="91" spans="2:36" s="27" customFormat="1" ht="15.75">
      <c r="B91" s="130" t="s">
        <v>79</v>
      </c>
      <c r="C91" s="130"/>
      <c r="D91" s="130"/>
      <c r="E91" s="130"/>
      <c r="F91" s="134">
        <f>$F$82</f>
        <v>1226066.1905282422</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0</v>
      </c>
      <c r="AE91" s="136">
        <v>0</v>
      </c>
      <c r="AF91" s="136">
        <v>0</v>
      </c>
      <c r="AG91" s="136">
        <v>0</v>
      </c>
      <c r="AH91" s="136">
        <v>0</v>
      </c>
      <c r="AI91" s="136">
        <v>0</v>
      </c>
      <c r="AJ91" s="136">
        <v>0</v>
      </c>
    </row>
    <row r="92" spans="2:36" s="27" customFormat="1" ht="15.75">
      <c r="B92" s="130" t="s">
        <v>105</v>
      </c>
      <c r="C92" s="130"/>
      <c r="D92" s="130"/>
      <c r="E92" s="130"/>
      <c r="F92" s="137">
        <v>0</v>
      </c>
      <c r="G92" s="138">
        <f aca="true" t="shared" si="23" ref="G92:AJ92">G87</f>
        <v>-217499.7288900913</v>
      </c>
      <c r="H92" s="138">
        <f t="shared" si="23"/>
        <v>-230549.71262349674</v>
      </c>
      <c r="I92" s="138">
        <f t="shared" si="23"/>
        <v>-244382.69538090655</v>
      </c>
      <c r="J92" s="138">
        <f t="shared" si="23"/>
        <v>-259045.65710376095</v>
      </c>
      <c r="K92" s="138">
        <f t="shared" si="23"/>
        <v>-274588.3965299866</v>
      </c>
      <c r="L92" s="138">
        <f t="shared" si="23"/>
        <v>0</v>
      </c>
      <c r="M92" s="138">
        <f t="shared" si="23"/>
        <v>0</v>
      </c>
      <c r="N92" s="138">
        <f t="shared" si="23"/>
        <v>0</v>
      </c>
      <c r="O92" s="138">
        <f t="shared" si="23"/>
        <v>0</v>
      </c>
      <c r="P92" s="138">
        <f t="shared" si="23"/>
        <v>0</v>
      </c>
      <c r="Q92" s="138">
        <f t="shared" si="23"/>
        <v>0</v>
      </c>
      <c r="R92" s="138">
        <f t="shared" si="23"/>
        <v>0</v>
      </c>
      <c r="S92" s="138">
        <f t="shared" si="23"/>
        <v>0</v>
      </c>
      <c r="T92" s="138">
        <f t="shared" si="23"/>
        <v>0</v>
      </c>
      <c r="U92" s="138">
        <f t="shared" si="23"/>
        <v>0</v>
      </c>
      <c r="V92" s="138">
        <f t="shared" si="23"/>
        <v>0</v>
      </c>
      <c r="W92" s="138">
        <f t="shared" si="23"/>
        <v>0</v>
      </c>
      <c r="X92" s="138">
        <f t="shared" si="23"/>
        <v>0</v>
      </c>
      <c r="Y92" s="138">
        <f t="shared" si="23"/>
        <v>0</v>
      </c>
      <c r="Z92" s="138">
        <f t="shared" si="23"/>
        <v>0</v>
      </c>
      <c r="AA92" s="138">
        <f t="shared" si="23"/>
        <v>0</v>
      </c>
      <c r="AB92" s="138">
        <f t="shared" si="23"/>
        <v>0</v>
      </c>
      <c r="AC92" s="138">
        <f t="shared" si="23"/>
        <v>0</v>
      </c>
      <c r="AD92" s="138">
        <f t="shared" si="23"/>
        <v>0</v>
      </c>
      <c r="AE92" s="138">
        <f t="shared" si="23"/>
        <v>0</v>
      </c>
      <c r="AF92" s="138">
        <f t="shared" si="23"/>
        <v>0</v>
      </c>
      <c r="AG92" s="138">
        <f t="shared" si="23"/>
        <v>0</v>
      </c>
      <c r="AH92" s="138">
        <f t="shared" si="23"/>
        <v>0</v>
      </c>
      <c r="AI92" s="138">
        <f t="shared" si="23"/>
        <v>0</v>
      </c>
      <c r="AJ92" s="138">
        <f t="shared" si="23"/>
        <v>0</v>
      </c>
    </row>
    <row r="93" spans="2:36" s="27" customFormat="1" ht="15">
      <c r="B93" s="130" t="s">
        <v>80</v>
      </c>
      <c r="C93" s="130"/>
      <c r="D93" s="130"/>
      <c r="E93" s="130"/>
      <c r="F93" s="134">
        <f aca="true" t="shared" si="24" ref="F93:AJ93">SUM(F90:F92)</f>
        <v>1226066.1905282422</v>
      </c>
      <c r="G93" s="134">
        <f t="shared" si="24"/>
        <v>1008566.4616381509</v>
      </c>
      <c r="H93" s="134">
        <f t="shared" si="24"/>
        <v>778016.7490146541</v>
      </c>
      <c r="I93" s="134">
        <f t="shared" si="24"/>
        <v>533634.0536337475</v>
      </c>
      <c r="J93" s="134">
        <f t="shared" si="24"/>
        <v>274588.3965299865</v>
      </c>
      <c r="K93" s="134">
        <f t="shared" si="24"/>
        <v>0</v>
      </c>
      <c r="L93" s="134">
        <f t="shared" si="24"/>
        <v>0</v>
      </c>
      <c r="M93" s="134">
        <f t="shared" si="24"/>
        <v>0</v>
      </c>
      <c r="N93" s="134">
        <f t="shared" si="24"/>
        <v>0</v>
      </c>
      <c r="O93" s="134">
        <f t="shared" si="24"/>
        <v>0</v>
      </c>
      <c r="P93" s="134">
        <f t="shared" si="24"/>
        <v>0</v>
      </c>
      <c r="Q93" s="134">
        <f t="shared" si="24"/>
        <v>0</v>
      </c>
      <c r="R93" s="134">
        <f t="shared" si="24"/>
        <v>0</v>
      </c>
      <c r="S93" s="134">
        <f t="shared" si="24"/>
        <v>0</v>
      </c>
      <c r="T93" s="134">
        <f t="shared" si="24"/>
        <v>0</v>
      </c>
      <c r="U93" s="134">
        <f t="shared" si="24"/>
        <v>0</v>
      </c>
      <c r="V93" s="134">
        <f t="shared" si="24"/>
        <v>0</v>
      </c>
      <c r="W93" s="134">
        <f t="shared" si="24"/>
        <v>0</v>
      </c>
      <c r="X93" s="134">
        <f t="shared" si="24"/>
        <v>0</v>
      </c>
      <c r="Y93" s="134">
        <f t="shared" si="24"/>
        <v>0</v>
      </c>
      <c r="Z93" s="134">
        <f t="shared" si="24"/>
        <v>0</v>
      </c>
      <c r="AA93" s="134">
        <f t="shared" si="24"/>
        <v>0</v>
      </c>
      <c r="AB93" s="134">
        <f t="shared" si="24"/>
        <v>0</v>
      </c>
      <c r="AC93" s="134">
        <f t="shared" si="24"/>
        <v>0</v>
      </c>
      <c r="AD93" s="134">
        <f t="shared" si="24"/>
        <v>0</v>
      </c>
      <c r="AE93" s="134">
        <f t="shared" si="24"/>
        <v>0</v>
      </c>
      <c r="AF93" s="134">
        <f t="shared" si="24"/>
        <v>0</v>
      </c>
      <c r="AG93" s="134">
        <f t="shared" si="24"/>
        <v>0</v>
      </c>
      <c r="AH93" s="134">
        <f t="shared" si="24"/>
        <v>0</v>
      </c>
      <c r="AI93" s="134">
        <f t="shared" si="24"/>
        <v>0</v>
      </c>
      <c r="AJ93" s="134">
        <f t="shared" si="24"/>
        <v>0</v>
      </c>
    </row>
    <row r="94" spans="2:36" s="27" customFormat="1" ht="15.75" thickBot="1">
      <c r="B94" s="117"/>
      <c r="C94" s="117"/>
      <c r="D94" s="117"/>
      <c r="E94" s="117"/>
      <c r="F94" s="117"/>
      <c r="G94" s="117"/>
      <c r="H94" s="117"/>
      <c r="I94" s="117"/>
      <c r="J94" s="117"/>
      <c r="K94" s="117"/>
      <c r="L94" s="117"/>
      <c r="M94" s="117"/>
      <c r="N94" s="117"/>
      <c r="O94" s="117"/>
      <c r="P94" s="117"/>
      <c r="Q94" s="117"/>
      <c r="R94" s="117"/>
      <c r="S94" s="117"/>
      <c r="T94" s="117"/>
      <c r="U94" s="117"/>
      <c r="V94" s="117"/>
      <c r="W94" s="117"/>
      <c r="X94" s="117"/>
      <c r="Y94" s="117"/>
      <c r="Z94" s="117"/>
      <c r="AA94" s="117"/>
      <c r="AB94" s="117"/>
      <c r="AC94" s="117"/>
      <c r="AD94" s="117"/>
      <c r="AE94" s="117"/>
      <c r="AF94" s="117"/>
      <c r="AG94" s="117"/>
      <c r="AH94" s="117"/>
      <c r="AI94" s="117"/>
      <c r="AJ94" s="117"/>
    </row>
    <row r="95" spans="2:36" ht="15">
      <c r="B95" s="139"/>
      <c r="C95" s="139"/>
      <c r="D95" s="139"/>
      <c r="E95" s="139"/>
      <c r="F95" s="139"/>
      <c r="G95" s="139"/>
      <c r="H95" s="139"/>
      <c r="I95" s="139"/>
      <c r="J95" s="139"/>
      <c r="K95" s="139"/>
      <c r="L95" s="139"/>
      <c r="M95" s="139"/>
      <c r="N95" s="139"/>
      <c r="O95" s="139"/>
      <c r="P95" s="139"/>
      <c r="Q95" s="139"/>
      <c r="R95" s="139"/>
      <c r="S95" s="139"/>
      <c r="T95" s="139"/>
      <c r="U95" s="139"/>
      <c r="V95" s="139"/>
      <c r="W95" s="139"/>
      <c r="X95" s="139"/>
      <c r="Y95" s="139"/>
      <c r="Z95" s="139"/>
      <c r="AA95" s="139"/>
      <c r="AB95" s="139"/>
      <c r="AC95" s="139"/>
      <c r="AD95" s="139"/>
      <c r="AE95" s="139"/>
      <c r="AF95" s="139"/>
      <c r="AG95" s="139"/>
      <c r="AH95" s="139"/>
      <c r="AI95" s="139"/>
      <c r="AJ95" s="139"/>
    </row>
    <row r="96" spans="2:36" s="27" customFormat="1" ht="15.75">
      <c r="B96" s="94" t="s">
        <v>135</v>
      </c>
      <c r="C96" s="645" t="s">
        <v>271</v>
      </c>
      <c r="D96" s="645"/>
      <c r="E96" s="64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row>
    <row r="97" spans="2:36" s="27" customFormat="1" ht="15">
      <c r="B97" s="95" t="s">
        <v>111</v>
      </c>
      <c r="C97" s="96" t="s">
        <v>272</v>
      </c>
      <c r="D97" s="96" t="s">
        <v>278</v>
      </c>
      <c r="E97" s="96" t="s">
        <v>273</v>
      </c>
      <c r="F97" s="96">
        <v>0</v>
      </c>
      <c r="G97" s="96">
        <v>1</v>
      </c>
      <c r="H97" s="96">
        <v>2</v>
      </c>
      <c r="I97" s="96">
        <v>3</v>
      </c>
      <c r="J97" s="96">
        <v>4</v>
      </c>
      <c r="K97" s="96">
        <v>5</v>
      </c>
      <c r="L97" s="96">
        <v>6</v>
      </c>
      <c r="M97" s="96">
        <v>7</v>
      </c>
      <c r="N97" s="96">
        <v>8</v>
      </c>
      <c r="O97" s="96">
        <v>9</v>
      </c>
      <c r="P97" s="96">
        <v>10</v>
      </c>
      <c r="Q97" s="96">
        <v>11</v>
      </c>
      <c r="R97" s="96">
        <v>12</v>
      </c>
      <c r="S97" s="96">
        <v>13</v>
      </c>
      <c r="T97" s="96">
        <v>14</v>
      </c>
      <c r="U97" s="96">
        <v>15</v>
      </c>
      <c r="V97" s="96">
        <v>16</v>
      </c>
      <c r="W97" s="96">
        <v>17</v>
      </c>
      <c r="X97" s="96">
        <v>18</v>
      </c>
      <c r="Y97" s="96">
        <v>19</v>
      </c>
      <c r="Z97" s="96">
        <v>20</v>
      </c>
      <c r="AA97" s="96">
        <v>21</v>
      </c>
      <c r="AB97" s="96">
        <v>22</v>
      </c>
      <c r="AC97" s="96">
        <v>23</v>
      </c>
      <c r="AD97" s="96">
        <v>24</v>
      </c>
      <c r="AE97" s="96">
        <v>25</v>
      </c>
      <c r="AF97" s="96">
        <v>26</v>
      </c>
      <c r="AG97" s="96">
        <v>27</v>
      </c>
      <c r="AH97" s="96">
        <v>28</v>
      </c>
      <c r="AI97" s="96">
        <v>29</v>
      </c>
      <c r="AJ97" s="96">
        <v>30</v>
      </c>
    </row>
    <row r="98" spans="2:36" s="27" customFormat="1" ht="15.75">
      <c r="B98" s="97" t="s">
        <v>112</v>
      </c>
      <c r="C98" s="98" t="s">
        <v>274</v>
      </c>
      <c r="D98" s="98" t="s">
        <v>120</v>
      </c>
      <c r="E98" s="98" t="s">
        <v>274</v>
      </c>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row>
    <row r="99" spans="2:36" s="27" customFormat="1" ht="15.75">
      <c r="B99" s="95" t="s">
        <v>66</v>
      </c>
      <c r="C99" s="99">
        <f>IF('CREST Inputs'!$G$18="Simple",'CREST Inputs'!$G$26*'CREST Inputs'!$P$73,IF('CREST Inputs'!$G$18="Intermediate",SUMPRODUCT('CREST Inputs'!$G$20:$G$24,'CREST Inputs'!$P$74:$P$78),0))</f>
        <v>3146143.345376176</v>
      </c>
      <c r="D99" s="298">
        <f aca="true" t="shared" si="25" ref="D99:D106">C99/$C$110</f>
        <v>0.7166894180183059</v>
      </c>
      <c r="E99" s="99">
        <f>($C$110-$C$112)*IF('CREST Inputs'!$P$70="No",1,(1-'CREST Inputs'!$P$71))*D99</f>
        <v>0</v>
      </c>
      <c r="F99" s="100"/>
      <c r="G99" s="101">
        <v>0.2</v>
      </c>
      <c r="H99" s="101">
        <v>0.32</v>
      </c>
      <c r="I99" s="101">
        <v>0.192</v>
      </c>
      <c r="J99" s="101">
        <v>0.1152</v>
      </c>
      <c r="K99" s="101">
        <v>0.1152</v>
      </c>
      <c r="L99" s="101">
        <v>0.0576</v>
      </c>
      <c r="M99" s="101">
        <v>0</v>
      </c>
      <c r="N99" s="101">
        <v>0</v>
      </c>
      <c r="O99" s="101">
        <v>0</v>
      </c>
      <c r="P99" s="101">
        <v>0</v>
      </c>
      <c r="Q99" s="101">
        <v>0</v>
      </c>
      <c r="R99" s="101">
        <v>0</v>
      </c>
      <c r="S99" s="101">
        <v>0</v>
      </c>
      <c r="T99" s="101">
        <v>0</v>
      </c>
      <c r="U99" s="101">
        <v>0</v>
      </c>
      <c r="V99" s="101">
        <v>0</v>
      </c>
      <c r="W99" s="101">
        <v>0</v>
      </c>
      <c r="X99" s="101">
        <v>0</v>
      </c>
      <c r="Y99" s="101">
        <v>0</v>
      </c>
      <c r="Z99" s="101">
        <v>0</v>
      </c>
      <c r="AA99" s="101">
        <v>0</v>
      </c>
      <c r="AB99" s="101">
        <v>0</v>
      </c>
      <c r="AC99" s="101">
        <v>0</v>
      </c>
      <c r="AD99" s="101">
        <v>0</v>
      </c>
      <c r="AE99" s="101">
        <v>0</v>
      </c>
      <c r="AF99" s="101">
        <v>0</v>
      </c>
      <c r="AG99" s="101">
        <v>0</v>
      </c>
      <c r="AH99" s="101">
        <v>0</v>
      </c>
      <c r="AI99" s="101">
        <v>0</v>
      </c>
      <c r="AJ99" s="101">
        <v>0</v>
      </c>
    </row>
    <row r="100" spans="2:36" s="27" customFormat="1" ht="15.75">
      <c r="B100" s="95" t="s">
        <v>113</v>
      </c>
      <c r="C100" s="99">
        <f>IF('CREST Inputs'!$G$18="Simple",'CREST Inputs'!$G$26*'CREST Inputs'!$Q$73,IF('CREST Inputs'!$G$18="Intermediate",SUMPRODUCT('CREST Inputs'!$G$20:$G$24,'CREST Inputs'!$Q$74:$Q$78),0))</f>
        <v>0</v>
      </c>
      <c r="D100" s="298">
        <f t="shared" si="25"/>
        <v>0</v>
      </c>
      <c r="E100" s="99">
        <f>($C$110-$C$112)*IF('CREST Inputs'!$P$70="No",1,(1-'CREST Inputs'!$P$71))*D100</f>
        <v>0</v>
      </c>
      <c r="F100" s="95"/>
      <c r="G100" s="101">
        <v>0.1429</v>
      </c>
      <c r="H100" s="101">
        <v>0.2449</v>
      </c>
      <c r="I100" s="101">
        <v>0.1749</v>
      </c>
      <c r="J100" s="101">
        <v>0.1249</v>
      </c>
      <c r="K100" s="101">
        <v>0.0893</v>
      </c>
      <c r="L100" s="101">
        <v>0.0892</v>
      </c>
      <c r="M100" s="101">
        <v>0.0893</v>
      </c>
      <c r="N100" s="101">
        <v>0.0446</v>
      </c>
      <c r="O100" s="101">
        <v>0</v>
      </c>
      <c r="P100" s="101">
        <v>0</v>
      </c>
      <c r="Q100" s="101">
        <v>0</v>
      </c>
      <c r="R100" s="101">
        <v>0</v>
      </c>
      <c r="S100" s="101">
        <v>0</v>
      </c>
      <c r="T100" s="101">
        <v>0</v>
      </c>
      <c r="U100" s="101">
        <v>0</v>
      </c>
      <c r="V100" s="101">
        <v>0</v>
      </c>
      <c r="W100" s="101">
        <v>0</v>
      </c>
      <c r="X100" s="101">
        <v>0</v>
      </c>
      <c r="Y100" s="101">
        <v>0</v>
      </c>
      <c r="Z100" s="101">
        <v>0</v>
      </c>
      <c r="AA100" s="101">
        <v>0</v>
      </c>
      <c r="AB100" s="101">
        <v>0</v>
      </c>
      <c r="AC100" s="101">
        <v>0</v>
      </c>
      <c r="AD100" s="101">
        <v>0</v>
      </c>
      <c r="AE100" s="101">
        <v>0</v>
      </c>
      <c r="AF100" s="101">
        <v>0</v>
      </c>
      <c r="AG100" s="101">
        <v>0</v>
      </c>
      <c r="AH100" s="101">
        <v>0</v>
      </c>
      <c r="AI100" s="101">
        <v>0</v>
      </c>
      <c r="AJ100" s="101">
        <v>0</v>
      </c>
    </row>
    <row r="101" spans="2:36" s="27" customFormat="1" ht="15.75">
      <c r="B101" s="95" t="s">
        <v>67</v>
      </c>
      <c r="C101" s="99">
        <f>IF('CREST Inputs'!$G$18="Simple",'CREST Inputs'!$G$26*'CREST Inputs'!$R$73,IF('CREST Inputs'!$G$18="Intermediate",SUMPRODUCT('CREST Inputs'!$G$20:$G$24,'CREST Inputs'!$R$74:$R$78),0))</f>
        <v>279915.1229583256</v>
      </c>
      <c r="D101" s="298">
        <f t="shared" si="25"/>
        <v>0.0637644838600125</v>
      </c>
      <c r="E101" s="99">
        <f>($C$110-$C$112)*IF('CREST Inputs'!$P$70="No",1,(1-'CREST Inputs'!$P$71))*D101</f>
        <v>0</v>
      </c>
      <c r="F101" s="95"/>
      <c r="G101" s="101">
        <v>0.05</v>
      </c>
      <c r="H101" s="101">
        <v>0.095</v>
      </c>
      <c r="I101" s="101">
        <v>0.0855</v>
      </c>
      <c r="J101" s="101">
        <v>0.077</v>
      </c>
      <c r="K101" s="101">
        <v>0.0693</v>
      </c>
      <c r="L101" s="101">
        <v>0.0623</v>
      </c>
      <c r="M101" s="101">
        <v>0.059</v>
      </c>
      <c r="N101" s="101">
        <v>0.059</v>
      </c>
      <c r="O101" s="101">
        <v>0.0591</v>
      </c>
      <c r="P101" s="101">
        <v>0.059</v>
      </c>
      <c r="Q101" s="101">
        <v>0.0591</v>
      </c>
      <c r="R101" s="101">
        <v>0.059</v>
      </c>
      <c r="S101" s="101">
        <v>0.0591</v>
      </c>
      <c r="T101" s="101">
        <v>0.059</v>
      </c>
      <c r="U101" s="101">
        <v>0.0591</v>
      </c>
      <c r="V101" s="101">
        <v>0.0295</v>
      </c>
      <c r="W101" s="101">
        <v>0</v>
      </c>
      <c r="X101" s="101">
        <v>0</v>
      </c>
      <c r="Y101" s="101">
        <v>0</v>
      </c>
      <c r="Z101" s="101">
        <v>0</v>
      </c>
      <c r="AA101" s="101">
        <v>0</v>
      </c>
      <c r="AB101" s="101">
        <v>0</v>
      </c>
      <c r="AC101" s="101">
        <v>0</v>
      </c>
      <c r="AD101" s="101">
        <v>0</v>
      </c>
      <c r="AE101" s="101">
        <v>0</v>
      </c>
      <c r="AF101" s="101">
        <v>0</v>
      </c>
      <c r="AG101" s="101">
        <v>0</v>
      </c>
      <c r="AH101" s="101">
        <v>0</v>
      </c>
      <c r="AI101" s="101">
        <v>0</v>
      </c>
      <c r="AJ101" s="101">
        <v>0</v>
      </c>
    </row>
    <row r="102" spans="2:36" s="27" customFormat="1" ht="15.75">
      <c r="B102" s="95" t="s">
        <v>68</v>
      </c>
      <c r="C102" s="99">
        <f>IF('CREST Inputs'!$G$18="Simple",'CREST Inputs'!$G$26*'CREST Inputs'!$U$73,IF('CREST Inputs'!$G$18="Intermediate",SUMPRODUCT('CREST Inputs'!$G$20:$G$24,'CREST Inputs'!$U$74:$U$78),0))</f>
        <v>0</v>
      </c>
      <c r="D102" s="298">
        <f t="shared" si="25"/>
        <v>0</v>
      </c>
      <c r="E102" s="99">
        <f>($C$110-$C$112)*IF('CREST Inputs'!$P$70="No",1,(1-'CREST Inputs'!$P$71))*D102</f>
        <v>0</v>
      </c>
      <c r="F102" s="95"/>
      <c r="G102" s="101">
        <v>0.0375</v>
      </c>
      <c r="H102" s="101">
        <v>0.07219</v>
      </c>
      <c r="I102" s="101">
        <v>0.06677</v>
      </c>
      <c r="J102" s="101">
        <v>0.06177</v>
      </c>
      <c r="K102" s="101">
        <v>0.05713</v>
      </c>
      <c r="L102" s="101">
        <v>0.05285</v>
      </c>
      <c r="M102" s="101">
        <v>0.04888</v>
      </c>
      <c r="N102" s="101">
        <v>0.04522</v>
      </c>
      <c r="O102" s="101">
        <v>0.04462</v>
      </c>
      <c r="P102" s="101">
        <v>0.04461</v>
      </c>
      <c r="Q102" s="101">
        <v>0.04462</v>
      </c>
      <c r="R102" s="101">
        <v>0.04461</v>
      </c>
      <c r="S102" s="101">
        <v>0.04462</v>
      </c>
      <c r="T102" s="101">
        <v>0.04461</v>
      </c>
      <c r="U102" s="101">
        <v>0.04462</v>
      </c>
      <c r="V102" s="101">
        <v>0.04461</v>
      </c>
      <c r="W102" s="101">
        <v>0.04462</v>
      </c>
      <c r="X102" s="101">
        <v>0.04461</v>
      </c>
      <c r="Y102" s="101">
        <v>0.04462</v>
      </c>
      <c r="Z102" s="101">
        <v>0.04461</v>
      </c>
      <c r="AA102" s="101">
        <v>0.02231</v>
      </c>
      <c r="AB102" s="101">
        <v>0</v>
      </c>
      <c r="AC102" s="101">
        <v>0</v>
      </c>
      <c r="AD102" s="101">
        <v>0</v>
      </c>
      <c r="AE102" s="101">
        <v>0</v>
      </c>
      <c r="AF102" s="101">
        <v>0</v>
      </c>
      <c r="AG102" s="101">
        <v>0</v>
      </c>
      <c r="AH102" s="101">
        <v>0</v>
      </c>
      <c r="AI102" s="101">
        <v>0</v>
      </c>
      <c r="AJ102" s="101">
        <v>0</v>
      </c>
    </row>
    <row r="103" spans="2:36" s="27" customFormat="1" ht="15.75">
      <c r="B103" s="95" t="s">
        <v>114</v>
      </c>
      <c r="C103" s="99">
        <f>IF('CREST Inputs'!$G$18="Simple",'CREST Inputs'!$G$26*'CREST Inputs'!$V$73,IF('CREST Inputs'!$G$18="Intermediate",SUMPRODUCT('CREST Inputs'!$G$20:$G$24,'CREST Inputs'!$V$74:$V$78),0))</f>
        <v>0</v>
      </c>
      <c r="D103" s="298">
        <f t="shared" si="25"/>
        <v>0</v>
      </c>
      <c r="E103" s="99">
        <f>($C$110-$C$112)*IF('CREST Inputs'!$P$70="No",1,(1-'CREST Inputs'!$P$71))*D103</f>
        <v>0</v>
      </c>
      <c r="F103" s="95"/>
      <c r="G103" s="101">
        <v>0.1</v>
      </c>
      <c r="H103" s="101">
        <v>0.2</v>
      </c>
      <c r="I103" s="101">
        <v>0.2</v>
      </c>
      <c r="J103" s="101">
        <v>0.2</v>
      </c>
      <c r="K103" s="101">
        <v>0.2</v>
      </c>
      <c r="L103" s="101">
        <v>0.1</v>
      </c>
      <c r="M103" s="101">
        <f aca="true" t="shared" si="26" ref="M103:AJ103">IF(M$97&lt;=5,1/5,0)</f>
        <v>0</v>
      </c>
      <c r="N103" s="101">
        <f t="shared" si="26"/>
        <v>0</v>
      </c>
      <c r="O103" s="101">
        <f t="shared" si="26"/>
        <v>0</v>
      </c>
      <c r="P103" s="101">
        <f t="shared" si="26"/>
        <v>0</v>
      </c>
      <c r="Q103" s="101">
        <f t="shared" si="26"/>
        <v>0</v>
      </c>
      <c r="R103" s="101">
        <f t="shared" si="26"/>
        <v>0</v>
      </c>
      <c r="S103" s="101">
        <f t="shared" si="26"/>
        <v>0</v>
      </c>
      <c r="T103" s="101">
        <f t="shared" si="26"/>
        <v>0</v>
      </c>
      <c r="U103" s="101">
        <f t="shared" si="26"/>
        <v>0</v>
      </c>
      <c r="V103" s="101">
        <f t="shared" si="26"/>
        <v>0</v>
      </c>
      <c r="W103" s="101">
        <f t="shared" si="26"/>
        <v>0</v>
      </c>
      <c r="X103" s="101">
        <f t="shared" si="26"/>
        <v>0</v>
      </c>
      <c r="Y103" s="101">
        <f t="shared" si="26"/>
        <v>0</v>
      </c>
      <c r="Z103" s="101">
        <f t="shared" si="26"/>
        <v>0</v>
      </c>
      <c r="AA103" s="101">
        <f t="shared" si="26"/>
        <v>0</v>
      </c>
      <c r="AB103" s="101">
        <f t="shared" si="26"/>
        <v>0</v>
      </c>
      <c r="AC103" s="101">
        <f t="shared" si="26"/>
        <v>0</v>
      </c>
      <c r="AD103" s="101">
        <f t="shared" si="26"/>
        <v>0</v>
      </c>
      <c r="AE103" s="101">
        <f t="shared" si="26"/>
        <v>0</v>
      </c>
      <c r="AF103" s="101">
        <f t="shared" si="26"/>
        <v>0</v>
      </c>
      <c r="AG103" s="101">
        <f t="shared" si="26"/>
        <v>0</v>
      </c>
      <c r="AH103" s="101">
        <f t="shared" si="26"/>
        <v>0</v>
      </c>
      <c r="AI103" s="101">
        <f t="shared" si="26"/>
        <v>0</v>
      </c>
      <c r="AJ103" s="101">
        <f t="shared" si="26"/>
        <v>0</v>
      </c>
    </row>
    <row r="104" spans="2:36" s="27" customFormat="1" ht="15.75">
      <c r="B104" s="95" t="s">
        <v>115</v>
      </c>
      <c r="C104" s="99">
        <f>IF('CREST Inputs'!$G$18="Simple",'CREST Inputs'!$G$26*'CREST Inputs'!$W$73,IF('CREST Inputs'!$G$18="Intermediate",SUMPRODUCT('CREST Inputs'!$G$20:$G$24,'CREST Inputs'!$W$74:$W$78),0))</f>
        <v>543026.640021648</v>
      </c>
      <c r="D104" s="298">
        <f t="shared" si="25"/>
        <v>0.12370111717176627</v>
      </c>
      <c r="E104" s="99">
        <f>($C$110-$C$112)*IF('CREST Inputs'!$P$70="No",1,(1-'CREST Inputs'!$P$71))*D104</f>
        <v>0</v>
      </c>
      <c r="F104" s="95"/>
      <c r="G104" s="101">
        <v>0.0333</v>
      </c>
      <c r="H104" s="101">
        <v>0.0667</v>
      </c>
      <c r="I104" s="101">
        <v>0.0667</v>
      </c>
      <c r="J104" s="101">
        <v>0.0667</v>
      </c>
      <c r="K104" s="101">
        <v>0.0667</v>
      </c>
      <c r="L104" s="101">
        <v>0.0667</v>
      </c>
      <c r="M104" s="101">
        <v>0.0667</v>
      </c>
      <c r="N104" s="101">
        <v>0.0667</v>
      </c>
      <c r="O104" s="101">
        <v>0.0667</v>
      </c>
      <c r="P104" s="101">
        <v>0.0667</v>
      </c>
      <c r="Q104" s="101">
        <v>0.0667</v>
      </c>
      <c r="R104" s="101">
        <v>0.0666</v>
      </c>
      <c r="S104" s="101">
        <v>0.0666</v>
      </c>
      <c r="T104" s="101">
        <v>0.0666</v>
      </c>
      <c r="U104" s="101">
        <v>0.0666</v>
      </c>
      <c r="V104" s="101">
        <v>0.0333</v>
      </c>
      <c r="W104" s="101">
        <f aca="true" t="shared" si="27" ref="W104:AJ104">IF(W$97&lt;=15,1/15,0)</f>
        <v>0</v>
      </c>
      <c r="X104" s="101">
        <f t="shared" si="27"/>
        <v>0</v>
      </c>
      <c r="Y104" s="101">
        <f t="shared" si="27"/>
        <v>0</v>
      </c>
      <c r="Z104" s="101">
        <f t="shared" si="27"/>
        <v>0</v>
      </c>
      <c r="AA104" s="101">
        <f t="shared" si="27"/>
        <v>0</v>
      </c>
      <c r="AB104" s="101">
        <f t="shared" si="27"/>
        <v>0</v>
      </c>
      <c r="AC104" s="101">
        <f t="shared" si="27"/>
        <v>0</v>
      </c>
      <c r="AD104" s="101">
        <f t="shared" si="27"/>
        <v>0</v>
      </c>
      <c r="AE104" s="101">
        <f t="shared" si="27"/>
        <v>0</v>
      </c>
      <c r="AF104" s="101">
        <f t="shared" si="27"/>
        <v>0</v>
      </c>
      <c r="AG104" s="101">
        <f t="shared" si="27"/>
        <v>0</v>
      </c>
      <c r="AH104" s="101">
        <f t="shared" si="27"/>
        <v>0</v>
      </c>
      <c r="AI104" s="101">
        <f t="shared" si="27"/>
        <v>0</v>
      </c>
      <c r="AJ104" s="101">
        <f t="shared" si="27"/>
        <v>0</v>
      </c>
    </row>
    <row r="105" spans="2:36" s="27" customFormat="1" ht="15.75">
      <c r="B105" s="95" t="s">
        <v>69</v>
      </c>
      <c r="C105" s="99">
        <f>IF('CREST Inputs'!$G$18="Simple",'CREST Inputs'!$G$26*'CREST Inputs'!$X$73,IF('CREST Inputs'!$G$18="Intermediate",SUMPRODUCT('CREST Inputs'!$G$20:$G$24,'CREST Inputs'!$X$74:$X$78),0))</f>
        <v>217204.4966219063</v>
      </c>
      <c r="D105" s="298">
        <f t="shared" si="25"/>
        <v>0.0494790437643903</v>
      </c>
      <c r="E105" s="99">
        <f>($C$110-$C$112)*IF('CREST Inputs'!$P$70="No",1,(1-'CREST Inputs'!$P$71))*D105</f>
        <v>0</v>
      </c>
      <c r="F105" s="95"/>
      <c r="G105" s="101">
        <v>0.025</v>
      </c>
      <c r="H105" s="101">
        <v>0.05</v>
      </c>
      <c r="I105" s="101">
        <v>0.05</v>
      </c>
      <c r="J105" s="101">
        <v>0.05</v>
      </c>
      <c r="K105" s="101">
        <v>0.05</v>
      </c>
      <c r="L105" s="101">
        <v>0.05</v>
      </c>
      <c r="M105" s="101">
        <v>0.05</v>
      </c>
      <c r="N105" s="101">
        <v>0.05</v>
      </c>
      <c r="O105" s="101">
        <v>0.05</v>
      </c>
      <c r="P105" s="101">
        <v>0.05</v>
      </c>
      <c r="Q105" s="101">
        <v>0.05</v>
      </c>
      <c r="R105" s="101">
        <v>0.05</v>
      </c>
      <c r="S105" s="101">
        <v>0.05</v>
      </c>
      <c r="T105" s="101">
        <v>0.05</v>
      </c>
      <c r="U105" s="101">
        <v>0.05</v>
      </c>
      <c r="V105" s="101">
        <v>0.05</v>
      </c>
      <c r="W105" s="101">
        <v>0.05</v>
      </c>
      <c r="X105" s="101">
        <v>0.05</v>
      </c>
      <c r="Y105" s="101">
        <v>0.05</v>
      </c>
      <c r="Z105" s="101">
        <v>0.05</v>
      </c>
      <c r="AA105" s="101">
        <v>0.025</v>
      </c>
      <c r="AB105" s="101">
        <f aca="true" t="shared" si="28" ref="AB105:AJ105">IF(AB$97&lt;=20,1/20,0)</f>
        <v>0</v>
      </c>
      <c r="AC105" s="101">
        <f t="shared" si="28"/>
        <v>0</v>
      </c>
      <c r="AD105" s="101">
        <f t="shared" si="28"/>
        <v>0</v>
      </c>
      <c r="AE105" s="101">
        <f t="shared" si="28"/>
        <v>0</v>
      </c>
      <c r="AF105" s="101">
        <f t="shared" si="28"/>
        <v>0</v>
      </c>
      <c r="AG105" s="101">
        <f t="shared" si="28"/>
        <v>0</v>
      </c>
      <c r="AH105" s="101">
        <f t="shared" si="28"/>
        <v>0</v>
      </c>
      <c r="AI105" s="101">
        <f t="shared" si="28"/>
        <v>0</v>
      </c>
      <c r="AJ105" s="101">
        <f t="shared" si="28"/>
        <v>0</v>
      </c>
    </row>
    <row r="106" spans="2:36" s="27" customFormat="1" ht="15.75">
      <c r="B106" s="95" t="s">
        <v>70</v>
      </c>
      <c r="C106" s="99">
        <f>IF('CREST Inputs'!$G$18="Simple",'CREST Inputs'!$G$26*'CREST Inputs'!$Y$73,IF('CREST Inputs'!$G$18="Intermediate",SUMPRODUCT('CREST Inputs'!$G$20:$G$24,'CREST Inputs'!$Y$74:$Y$78),0))</f>
        <v>0</v>
      </c>
      <c r="D106" s="298">
        <f t="shared" si="25"/>
        <v>0</v>
      </c>
      <c r="E106" s="99">
        <f>($C$110-$C$112)*IF('CREST Inputs'!$P$70="No",1,(1-'CREST Inputs'!$P$71))*D106</f>
        <v>0</v>
      </c>
      <c r="F106" s="95"/>
      <c r="G106" s="101">
        <v>0.0128</v>
      </c>
      <c r="H106" s="101">
        <v>0.0256</v>
      </c>
      <c r="I106" s="101">
        <v>0.0256</v>
      </c>
      <c r="J106" s="101">
        <v>0.0256</v>
      </c>
      <c r="K106" s="101">
        <v>0.0256</v>
      </c>
      <c r="L106" s="101">
        <v>0.0256</v>
      </c>
      <c r="M106" s="101">
        <v>0.0256</v>
      </c>
      <c r="N106" s="101">
        <v>0.0256</v>
      </c>
      <c r="O106" s="101">
        <v>0.0256</v>
      </c>
      <c r="P106" s="101">
        <v>0.0256</v>
      </c>
      <c r="Q106" s="101">
        <v>0.0256</v>
      </c>
      <c r="R106" s="101">
        <v>0.0256</v>
      </c>
      <c r="S106" s="101">
        <v>0.0256</v>
      </c>
      <c r="T106" s="101">
        <v>0.0256</v>
      </c>
      <c r="U106" s="101">
        <v>0.0256</v>
      </c>
      <c r="V106" s="101">
        <v>0.0256</v>
      </c>
      <c r="W106" s="101">
        <v>0.0256</v>
      </c>
      <c r="X106" s="101">
        <v>0.0256</v>
      </c>
      <c r="Y106" s="101">
        <v>0.0256</v>
      </c>
      <c r="Z106" s="101">
        <v>0.0256</v>
      </c>
      <c r="AA106" s="101">
        <v>0.0256</v>
      </c>
      <c r="AB106" s="101">
        <v>0.0256</v>
      </c>
      <c r="AC106" s="101">
        <v>0.0256</v>
      </c>
      <c r="AD106" s="101">
        <v>0.0256</v>
      </c>
      <c r="AE106" s="101">
        <v>0.0256</v>
      </c>
      <c r="AF106" s="101">
        <v>0.0256</v>
      </c>
      <c r="AG106" s="101">
        <v>0.0256</v>
      </c>
      <c r="AH106" s="101">
        <v>0.0256</v>
      </c>
      <c r="AI106" s="101">
        <v>0.0256</v>
      </c>
      <c r="AJ106" s="101">
        <v>0.0256</v>
      </c>
    </row>
    <row r="107" spans="2:36" s="27" customFormat="1" ht="15.75">
      <c r="B107" s="95" t="s">
        <v>269</v>
      </c>
      <c r="C107" s="95"/>
      <c r="D107" s="298"/>
      <c r="E107" s="99">
        <f>($C$110-$C$112)*IF('CREST Inputs'!$P$70="No",0,'CREST Inputs'!$P$71)</f>
        <v>3917906.5970588704</v>
      </c>
      <c r="F107" s="95"/>
      <c r="G107" s="101">
        <v>1</v>
      </c>
      <c r="H107" s="101">
        <v>0</v>
      </c>
      <c r="I107" s="101">
        <v>0</v>
      </c>
      <c r="J107" s="101">
        <v>0</v>
      </c>
      <c r="K107" s="101">
        <v>0</v>
      </c>
      <c r="L107" s="101">
        <v>0</v>
      </c>
      <c r="M107" s="101">
        <v>0</v>
      </c>
      <c r="N107" s="101">
        <v>0</v>
      </c>
      <c r="O107" s="101">
        <v>0</v>
      </c>
      <c r="P107" s="101">
        <v>0</v>
      </c>
      <c r="Q107" s="101">
        <v>0</v>
      </c>
      <c r="R107" s="101">
        <v>0</v>
      </c>
      <c r="S107" s="101">
        <v>0</v>
      </c>
      <c r="T107" s="101">
        <v>0</v>
      </c>
      <c r="U107" s="101">
        <v>0</v>
      </c>
      <c r="V107" s="101">
        <v>0</v>
      </c>
      <c r="W107" s="101">
        <v>0</v>
      </c>
      <c r="X107" s="101">
        <v>0</v>
      </c>
      <c r="Y107" s="101">
        <v>0</v>
      </c>
      <c r="Z107" s="101">
        <v>0</v>
      </c>
      <c r="AA107" s="101">
        <v>0</v>
      </c>
      <c r="AB107" s="101">
        <v>0</v>
      </c>
      <c r="AC107" s="101">
        <v>0</v>
      </c>
      <c r="AD107" s="101">
        <v>0</v>
      </c>
      <c r="AE107" s="101">
        <v>0</v>
      </c>
      <c r="AF107" s="101">
        <v>0</v>
      </c>
      <c r="AG107" s="101">
        <v>0</v>
      </c>
      <c r="AH107" s="101">
        <v>0</v>
      </c>
      <c r="AI107" s="101">
        <v>0</v>
      </c>
      <c r="AJ107" s="101">
        <v>0</v>
      </c>
    </row>
    <row r="108" spans="2:36" s="27" customFormat="1" ht="15">
      <c r="B108" s="108" t="s">
        <v>25</v>
      </c>
      <c r="C108" s="310">
        <f>IF('CREST Inputs'!$G$18="Simple",'CREST Inputs'!$G$26*'CREST Inputs'!$Z$73,IF('CREST Inputs'!$G$18="Intermediate",SUMPRODUCT('CREST Inputs'!$G$20:$G$24,'CREST Inputs'!$Z$74:$Z$78),0))</f>
        <v>203538.49388724065</v>
      </c>
      <c r="D108" s="311">
        <f>C108/$C$110</f>
        <v>0.046365937185524925</v>
      </c>
      <c r="E108" s="310">
        <f>($C$110-$C$112)*IF('CREST Inputs'!$P$70="No",1,(1-'CREST Inputs'!$P$71))*D108</f>
        <v>0</v>
      </c>
      <c r="F108" s="95"/>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102"/>
      <c r="AC108" s="102"/>
      <c r="AD108" s="102"/>
      <c r="AE108" s="102"/>
      <c r="AF108" s="102"/>
      <c r="AG108" s="102"/>
      <c r="AH108" s="102"/>
      <c r="AI108" s="102"/>
      <c r="AJ108" s="102"/>
    </row>
    <row r="109" spans="2:36" s="27" customFormat="1" ht="15.75">
      <c r="B109" s="95"/>
      <c r="C109" s="299" t="s">
        <v>276</v>
      </c>
      <c r="D109" s="299"/>
      <c r="E109" s="299" t="s">
        <v>275</v>
      </c>
      <c r="F109" s="95"/>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row>
    <row r="110" spans="2:36" s="27" customFormat="1" ht="15.75">
      <c r="B110" s="94" t="s">
        <v>277</v>
      </c>
      <c r="C110" s="104">
        <f>SUM(C99:C108)</f>
        <v>4389828.098865297</v>
      </c>
      <c r="D110" s="298">
        <f>SUM(D99:D108)</f>
        <v>0.9999999999999999</v>
      </c>
      <c r="E110" s="104">
        <f>SUM(E99:E108)</f>
        <v>3917906.5970588704</v>
      </c>
      <c r="F110" s="95"/>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row>
    <row r="111" spans="2:36" s="27" customFormat="1" ht="15">
      <c r="B111" s="95"/>
      <c r="C111" s="297" t="str">
        <f>IF(C110='CREST Inputs'!$G$26,"OK","error")</f>
        <v>OK</v>
      </c>
      <c r="D111" s="297" t="str">
        <f>IF(D110=100%,"OK","error")</f>
        <v>OK</v>
      </c>
      <c r="E111" s="297" t="str">
        <f>IF(E110=(C110-C112),"OK","error")</f>
        <v>OK</v>
      </c>
      <c r="F111" s="95"/>
      <c r="G111" s="102"/>
      <c r="H111" s="102"/>
      <c r="I111" s="102"/>
      <c r="J111" s="102"/>
      <c r="K111" s="102"/>
      <c r="L111" s="102"/>
      <c r="M111" s="102"/>
      <c r="N111" s="102"/>
      <c r="O111" s="102"/>
      <c r="P111" s="102"/>
      <c r="Q111" s="102"/>
      <c r="R111" s="102"/>
      <c r="S111" s="102"/>
      <c r="T111" s="102"/>
      <c r="U111" s="102"/>
      <c r="V111" s="102"/>
      <c r="W111" s="102"/>
      <c r="X111" s="102"/>
      <c r="Y111" s="102"/>
      <c r="Z111" s="102"/>
      <c r="AA111" s="102"/>
      <c r="AB111" s="102"/>
      <c r="AC111" s="102"/>
      <c r="AD111" s="102"/>
      <c r="AE111" s="102"/>
      <c r="AF111" s="102"/>
      <c r="AG111" s="102"/>
      <c r="AH111" s="102"/>
      <c r="AI111" s="102"/>
      <c r="AJ111" s="102"/>
    </row>
    <row r="112" spans="2:36" s="27" customFormat="1" ht="15">
      <c r="B112" s="95" t="s">
        <v>279</v>
      </c>
      <c r="C112" s="99">
        <f>IF(OR('CREST Inputs'!$Q$19="Performance-Based",'CREST Inputs'!$Q$19="Neither"),0,50%*'CREST Inputs'!$Q$23)+IF('CREST Inputs'!$Q$30="Yes",0,'CREST Inputs'!$Q$29)+IF('CREST Inputs'!$Q$47="Yes",0,IF('CREST Inputs'!$Q$46=0,'CREST Inputs'!$Q$45*1000*'CREST Inputs'!$G$8,MIN('CREST Inputs'!$Q$46,'CREST Inputs'!$Q$45*1000*'CREST Inputs'!$G$8)))</f>
        <v>471921.5018064263</v>
      </c>
      <c r="D112" s="99"/>
      <c r="E112" s="99"/>
      <c r="F112" s="95"/>
      <c r="G112" s="102"/>
      <c r="H112" s="102"/>
      <c r="I112" s="102"/>
      <c r="J112" s="102"/>
      <c r="K112" s="102"/>
      <c r="L112" s="102"/>
      <c r="M112" s="102"/>
      <c r="N112" s="102"/>
      <c r="O112" s="102"/>
      <c r="P112" s="102"/>
      <c r="Q112" s="102"/>
      <c r="R112" s="102"/>
      <c r="S112" s="102"/>
      <c r="T112" s="102"/>
      <c r="U112" s="102"/>
      <c r="V112" s="102"/>
      <c r="W112" s="102"/>
      <c r="X112" s="102"/>
      <c r="Y112" s="102"/>
      <c r="Z112" s="102"/>
      <c r="AA112" s="102"/>
      <c r="AB112" s="102"/>
      <c r="AC112" s="102"/>
      <c r="AD112" s="102"/>
      <c r="AE112" s="102"/>
      <c r="AF112" s="102"/>
      <c r="AG112" s="102"/>
      <c r="AH112" s="102"/>
      <c r="AI112" s="102"/>
      <c r="AJ112" s="102"/>
    </row>
    <row r="113" spans="2:36" s="27" customFormat="1" ht="15">
      <c r="B113" s="95"/>
      <c r="C113" s="297"/>
      <c r="D113" s="297"/>
      <c r="E113" s="99"/>
      <c r="F113" s="95"/>
      <c r="G113" s="102"/>
      <c r="H113" s="102"/>
      <c r="I113" s="102"/>
      <c r="J113" s="102"/>
      <c r="K113" s="102"/>
      <c r="L113" s="102"/>
      <c r="M113" s="102"/>
      <c r="N113" s="102"/>
      <c r="O113" s="102"/>
      <c r="P113" s="102"/>
      <c r="Q113" s="102"/>
      <c r="R113" s="102"/>
      <c r="S113" s="102"/>
      <c r="T113" s="102"/>
      <c r="U113" s="102"/>
      <c r="V113" s="102"/>
      <c r="W113" s="102"/>
      <c r="X113" s="102"/>
      <c r="Y113" s="102"/>
      <c r="Z113" s="102"/>
      <c r="AA113" s="102"/>
      <c r="AB113" s="102"/>
      <c r="AC113" s="102"/>
      <c r="AD113" s="102"/>
      <c r="AE113" s="102"/>
      <c r="AF113" s="102"/>
      <c r="AG113" s="102"/>
      <c r="AH113" s="102"/>
      <c r="AI113" s="102"/>
      <c r="AJ113" s="102"/>
    </row>
    <row r="114" spans="2:36" s="27" customFormat="1" ht="15.75">
      <c r="B114" s="97" t="s">
        <v>136</v>
      </c>
      <c r="C114" s="97"/>
      <c r="D114" s="97"/>
      <c r="E114" s="95"/>
      <c r="F114" s="95"/>
      <c r="G114" s="102"/>
      <c r="H114" s="102"/>
      <c r="I114" s="102"/>
      <c r="J114" s="102"/>
      <c r="K114" s="102"/>
      <c r="L114" s="102"/>
      <c r="M114" s="102"/>
      <c r="N114" s="102"/>
      <c r="O114" s="102"/>
      <c r="P114" s="102"/>
      <c r="Q114" s="102"/>
      <c r="R114" s="102"/>
      <c r="S114" s="102"/>
      <c r="T114" s="102"/>
      <c r="U114" s="102"/>
      <c r="V114" s="102"/>
      <c r="W114" s="102"/>
      <c r="X114" s="102"/>
      <c r="Y114" s="102"/>
      <c r="Z114" s="102"/>
      <c r="AA114" s="102"/>
      <c r="AB114" s="102"/>
      <c r="AC114" s="102"/>
      <c r="AD114" s="102"/>
      <c r="AE114" s="102"/>
      <c r="AF114" s="102"/>
      <c r="AG114" s="102"/>
      <c r="AH114" s="102"/>
      <c r="AI114" s="102"/>
      <c r="AJ114" s="102"/>
    </row>
    <row r="115" spans="2:36" s="27" customFormat="1" ht="15">
      <c r="B115" s="95" t="s">
        <v>71</v>
      </c>
      <c r="C115" s="95"/>
      <c r="D115" s="95"/>
      <c r="E115" s="103" t="s">
        <v>122</v>
      </c>
      <c r="F115" s="104"/>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row>
    <row r="116" spans="2:36" s="27" customFormat="1" ht="15">
      <c r="B116" s="95" t="s">
        <v>66</v>
      </c>
      <c r="C116" s="95"/>
      <c r="D116" s="95"/>
      <c r="E116" s="105">
        <f>SUM(G116:AJ116)</f>
        <v>0</v>
      </c>
      <c r="F116" s="104"/>
      <c r="G116" s="106">
        <f>$E99*G99</f>
        <v>0</v>
      </c>
      <c r="H116" s="106">
        <f aca="true" t="shared" si="29" ref="H116:AJ116">$E99*H99</f>
        <v>0</v>
      </c>
      <c r="I116" s="106">
        <f t="shared" si="29"/>
        <v>0</v>
      </c>
      <c r="J116" s="106">
        <f t="shared" si="29"/>
        <v>0</v>
      </c>
      <c r="K116" s="106">
        <f t="shared" si="29"/>
        <v>0</v>
      </c>
      <c r="L116" s="106">
        <f t="shared" si="29"/>
        <v>0</v>
      </c>
      <c r="M116" s="106">
        <f t="shared" si="29"/>
        <v>0</v>
      </c>
      <c r="N116" s="106">
        <f t="shared" si="29"/>
        <v>0</v>
      </c>
      <c r="O116" s="106">
        <f t="shared" si="29"/>
        <v>0</v>
      </c>
      <c r="P116" s="106">
        <f t="shared" si="29"/>
        <v>0</v>
      </c>
      <c r="Q116" s="106">
        <f t="shared" si="29"/>
        <v>0</v>
      </c>
      <c r="R116" s="106">
        <f t="shared" si="29"/>
        <v>0</v>
      </c>
      <c r="S116" s="106">
        <f t="shared" si="29"/>
        <v>0</v>
      </c>
      <c r="T116" s="106">
        <f t="shared" si="29"/>
        <v>0</v>
      </c>
      <c r="U116" s="106">
        <f t="shared" si="29"/>
        <v>0</v>
      </c>
      <c r="V116" s="106">
        <f t="shared" si="29"/>
        <v>0</v>
      </c>
      <c r="W116" s="106">
        <f t="shared" si="29"/>
        <v>0</v>
      </c>
      <c r="X116" s="106">
        <f t="shared" si="29"/>
        <v>0</v>
      </c>
      <c r="Y116" s="106">
        <f t="shared" si="29"/>
        <v>0</v>
      </c>
      <c r="Z116" s="106">
        <f t="shared" si="29"/>
        <v>0</v>
      </c>
      <c r="AA116" s="106">
        <f t="shared" si="29"/>
        <v>0</v>
      </c>
      <c r="AB116" s="106">
        <f t="shared" si="29"/>
        <v>0</v>
      </c>
      <c r="AC116" s="106">
        <f t="shared" si="29"/>
        <v>0</v>
      </c>
      <c r="AD116" s="106">
        <f t="shared" si="29"/>
        <v>0</v>
      </c>
      <c r="AE116" s="106">
        <f t="shared" si="29"/>
        <v>0</v>
      </c>
      <c r="AF116" s="106">
        <f t="shared" si="29"/>
        <v>0</v>
      </c>
      <c r="AG116" s="106">
        <f t="shared" si="29"/>
        <v>0</v>
      </c>
      <c r="AH116" s="106">
        <f t="shared" si="29"/>
        <v>0</v>
      </c>
      <c r="AI116" s="106">
        <f t="shared" si="29"/>
        <v>0</v>
      </c>
      <c r="AJ116" s="106">
        <f t="shared" si="29"/>
        <v>0</v>
      </c>
    </row>
    <row r="117" spans="2:36" s="27" customFormat="1" ht="15">
      <c r="B117" s="95" t="s">
        <v>113</v>
      </c>
      <c r="C117" s="95"/>
      <c r="D117" s="95"/>
      <c r="E117" s="105">
        <f aca="true" t="shared" si="30" ref="E117:E124">SUM(G117:AJ117)</f>
        <v>0</v>
      </c>
      <c r="F117" s="104"/>
      <c r="G117" s="106">
        <f aca="true" t="shared" si="31" ref="G117:AJ117">$E100*G100</f>
        <v>0</v>
      </c>
      <c r="H117" s="106">
        <f t="shared" si="31"/>
        <v>0</v>
      </c>
      <c r="I117" s="106">
        <f t="shared" si="31"/>
        <v>0</v>
      </c>
      <c r="J117" s="106">
        <f t="shared" si="31"/>
        <v>0</v>
      </c>
      <c r="K117" s="106">
        <f t="shared" si="31"/>
        <v>0</v>
      </c>
      <c r="L117" s="106">
        <f t="shared" si="31"/>
        <v>0</v>
      </c>
      <c r="M117" s="106">
        <f t="shared" si="31"/>
        <v>0</v>
      </c>
      <c r="N117" s="106">
        <f t="shared" si="31"/>
        <v>0</v>
      </c>
      <c r="O117" s="106">
        <f t="shared" si="31"/>
        <v>0</v>
      </c>
      <c r="P117" s="106">
        <f t="shared" si="31"/>
        <v>0</v>
      </c>
      <c r="Q117" s="106">
        <f t="shared" si="31"/>
        <v>0</v>
      </c>
      <c r="R117" s="106">
        <f t="shared" si="31"/>
        <v>0</v>
      </c>
      <c r="S117" s="106">
        <f t="shared" si="31"/>
        <v>0</v>
      </c>
      <c r="T117" s="106">
        <f t="shared" si="31"/>
        <v>0</v>
      </c>
      <c r="U117" s="106">
        <f t="shared" si="31"/>
        <v>0</v>
      </c>
      <c r="V117" s="106">
        <f t="shared" si="31"/>
        <v>0</v>
      </c>
      <c r="W117" s="106">
        <f t="shared" si="31"/>
        <v>0</v>
      </c>
      <c r="X117" s="106">
        <f t="shared" si="31"/>
        <v>0</v>
      </c>
      <c r="Y117" s="106">
        <f t="shared" si="31"/>
        <v>0</v>
      </c>
      <c r="Z117" s="106">
        <f t="shared" si="31"/>
        <v>0</v>
      </c>
      <c r="AA117" s="106">
        <f t="shared" si="31"/>
        <v>0</v>
      </c>
      <c r="AB117" s="106">
        <f t="shared" si="31"/>
        <v>0</v>
      </c>
      <c r="AC117" s="106">
        <f t="shared" si="31"/>
        <v>0</v>
      </c>
      <c r="AD117" s="106">
        <f t="shared" si="31"/>
        <v>0</v>
      </c>
      <c r="AE117" s="106">
        <f t="shared" si="31"/>
        <v>0</v>
      </c>
      <c r="AF117" s="106">
        <f t="shared" si="31"/>
        <v>0</v>
      </c>
      <c r="AG117" s="106">
        <f t="shared" si="31"/>
        <v>0</v>
      </c>
      <c r="AH117" s="106">
        <f t="shared" si="31"/>
        <v>0</v>
      </c>
      <c r="AI117" s="106">
        <f t="shared" si="31"/>
        <v>0</v>
      </c>
      <c r="AJ117" s="106">
        <f t="shared" si="31"/>
        <v>0</v>
      </c>
    </row>
    <row r="118" spans="2:36" s="27" customFormat="1" ht="15">
      <c r="B118" s="95" t="s">
        <v>67</v>
      </c>
      <c r="C118" s="95"/>
      <c r="D118" s="95"/>
      <c r="E118" s="105">
        <f t="shared" si="30"/>
        <v>0</v>
      </c>
      <c r="F118" s="104"/>
      <c r="G118" s="106">
        <f aca="true" t="shared" si="32" ref="G118:AJ118">$E101*G101</f>
        <v>0</v>
      </c>
      <c r="H118" s="106">
        <f t="shared" si="32"/>
        <v>0</v>
      </c>
      <c r="I118" s="106">
        <f t="shared" si="32"/>
        <v>0</v>
      </c>
      <c r="J118" s="106">
        <f t="shared" si="32"/>
        <v>0</v>
      </c>
      <c r="K118" s="106">
        <f t="shared" si="32"/>
        <v>0</v>
      </c>
      <c r="L118" s="106">
        <f t="shared" si="32"/>
        <v>0</v>
      </c>
      <c r="M118" s="106">
        <f t="shared" si="32"/>
        <v>0</v>
      </c>
      <c r="N118" s="106">
        <f t="shared" si="32"/>
        <v>0</v>
      </c>
      <c r="O118" s="106">
        <f t="shared" si="32"/>
        <v>0</v>
      </c>
      <c r="P118" s="106">
        <f t="shared" si="32"/>
        <v>0</v>
      </c>
      <c r="Q118" s="106">
        <f t="shared" si="32"/>
        <v>0</v>
      </c>
      <c r="R118" s="106">
        <f t="shared" si="32"/>
        <v>0</v>
      </c>
      <c r="S118" s="106">
        <f t="shared" si="32"/>
        <v>0</v>
      </c>
      <c r="T118" s="106">
        <f t="shared" si="32"/>
        <v>0</v>
      </c>
      <c r="U118" s="106">
        <f t="shared" si="32"/>
        <v>0</v>
      </c>
      <c r="V118" s="106">
        <f t="shared" si="32"/>
        <v>0</v>
      </c>
      <c r="W118" s="106">
        <f t="shared" si="32"/>
        <v>0</v>
      </c>
      <c r="X118" s="106">
        <f t="shared" si="32"/>
        <v>0</v>
      </c>
      <c r="Y118" s="106">
        <f t="shared" si="32"/>
        <v>0</v>
      </c>
      <c r="Z118" s="106">
        <f t="shared" si="32"/>
        <v>0</v>
      </c>
      <c r="AA118" s="106">
        <f t="shared" si="32"/>
        <v>0</v>
      </c>
      <c r="AB118" s="106">
        <f t="shared" si="32"/>
        <v>0</v>
      </c>
      <c r="AC118" s="106">
        <f t="shared" si="32"/>
        <v>0</v>
      </c>
      <c r="AD118" s="106">
        <f t="shared" si="32"/>
        <v>0</v>
      </c>
      <c r="AE118" s="106">
        <f t="shared" si="32"/>
        <v>0</v>
      </c>
      <c r="AF118" s="106">
        <f t="shared" si="32"/>
        <v>0</v>
      </c>
      <c r="AG118" s="106">
        <f t="shared" si="32"/>
        <v>0</v>
      </c>
      <c r="AH118" s="106">
        <f t="shared" si="32"/>
        <v>0</v>
      </c>
      <c r="AI118" s="106">
        <f t="shared" si="32"/>
        <v>0</v>
      </c>
      <c r="AJ118" s="106">
        <f t="shared" si="32"/>
        <v>0</v>
      </c>
    </row>
    <row r="119" spans="2:36" s="27" customFormat="1" ht="15">
      <c r="B119" s="95" t="s">
        <v>68</v>
      </c>
      <c r="C119" s="95"/>
      <c r="D119" s="95"/>
      <c r="E119" s="105">
        <f t="shared" si="30"/>
        <v>0</v>
      </c>
      <c r="F119" s="104"/>
      <c r="G119" s="106">
        <f aca="true" t="shared" si="33" ref="G119:AJ119">$E102*G102</f>
        <v>0</v>
      </c>
      <c r="H119" s="106">
        <f t="shared" si="33"/>
        <v>0</v>
      </c>
      <c r="I119" s="106">
        <f t="shared" si="33"/>
        <v>0</v>
      </c>
      <c r="J119" s="106">
        <f t="shared" si="33"/>
        <v>0</v>
      </c>
      <c r="K119" s="106">
        <f t="shared" si="33"/>
        <v>0</v>
      </c>
      <c r="L119" s="106">
        <f t="shared" si="33"/>
        <v>0</v>
      </c>
      <c r="M119" s="106">
        <f t="shared" si="33"/>
        <v>0</v>
      </c>
      <c r="N119" s="106">
        <f t="shared" si="33"/>
        <v>0</v>
      </c>
      <c r="O119" s="106">
        <f t="shared" si="33"/>
        <v>0</v>
      </c>
      <c r="P119" s="106">
        <f t="shared" si="33"/>
        <v>0</v>
      </c>
      <c r="Q119" s="106">
        <f t="shared" si="33"/>
        <v>0</v>
      </c>
      <c r="R119" s="106">
        <f t="shared" si="33"/>
        <v>0</v>
      </c>
      <c r="S119" s="106">
        <f t="shared" si="33"/>
        <v>0</v>
      </c>
      <c r="T119" s="106">
        <f t="shared" si="33"/>
        <v>0</v>
      </c>
      <c r="U119" s="106">
        <f t="shared" si="33"/>
        <v>0</v>
      </c>
      <c r="V119" s="106">
        <f t="shared" si="33"/>
        <v>0</v>
      </c>
      <c r="W119" s="106">
        <f t="shared" si="33"/>
        <v>0</v>
      </c>
      <c r="X119" s="106">
        <f t="shared" si="33"/>
        <v>0</v>
      </c>
      <c r="Y119" s="106">
        <f t="shared" si="33"/>
        <v>0</v>
      </c>
      <c r="Z119" s="106">
        <f t="shared" si="33"/>
        <v>0</v>
      </c>
      <c r="AA119" s="106">
        <f t="shared" si="33"/>
        <v>0</v>
      </c>
      <c r="AB119" s="106">
        <f t="shared" si="33"/>
        <v>0</v>
      </c>
      <c r="AC119" s="106">
        <f t="shared" si="33"/>
        <v>0</v>
      </c>
      <c r="AD119" s="106">
        <f t="shared" si="33"/>
        <v>0</v>
      </c>
      <c r="AE119" s="106">
        <f t="shared" si="33"/>
        <v>0</v>
      </c>
      <c r="AF119" s="106">
        <f t="shared" si="33"/>
        <v>0</v>
      </c>
      <c r="AG119" s="106">
        <f t="shared" si="33"/>
        <v>0</v>
      </c>
      <c r="AH119" s="106">
        <f t="shared" si="33"/>
        <v>0</v>
      </c>
      <c r="AI119" s="106">
        <f t="shared" si="33"/>
        <v>0</v>
      </c>
      <c r="AJ119" s="106">
        <f t="shared" si="33"/>
        <v>0</v>
      </c>
    </row>
    <row r="120" spans="2:36" s="27" customFormat="1" ht="15">
      <c r="B120" s="95" t="s">
        <v>114</v>
      </c>
      <c r="C120" s="95"/>
      <c r="D120" s="95"/>
      <c r="E120" s="105">
        <f t="shared" si="30"/>
        <v>0</v>
      </c>
      <c r="F120" s="104"/>
      <c r="G120" s="106">
        <f aca="true" t="shared" si="34" ref="G120:AJ120">$E103*G103</f>
        <v>0</v>
      </c>
      <c r="H120" s="106">
        <f t="shared" si="34"/>
        <v>0</v>
      </c>
      <c r="I120" s="106">
        <f t="shared" si="34"/>
        <v>0</v>
      </c>
      <c r="J120" s="106">
        <f t="shared" si="34"/>
        <v>0</v>
      </c>
      <c r="K120" s="106">
        <f t="shared" si="34"/>
        <v>0</v>
      </c>
      <c r="L120" s="106">
        <f t="shared" si="34"/>
        <v>0</v>
      </c>
      <c r="M120" s="106">
        <f t="shared" si="34"/>
        <v>0</v>
      </c>
      <c r="N120" s="106">
        <f t="shared" si="34"/>
        <v>0</v>
      </c>
      <c r="O120" s="106">
        <f t="shared" si="34"/>
        <v>0</v>
      </c>
      <c r="P120" s="106">
        <f t="shared" si="34"/>
        <v>0</v>
      </c>
      <c r="Q120" s="106">
        <f t="shared" si="34"/>
        <v>0</v>
      </c>
      <c r="R120" s="106">
        <f t="shared" si="34"/>
        <v>0</v>
      </c>
      <c r="S120" s="106">
        <f t="shared" si="34"/>
        <v>0</v>
      </c>
      <c r="T120" s="106">
        <f t="shared" si="34"/>
        <v>0</v>
      </c>
      <c r="U120" s="106">
        <f t="shared" si="34"/>
        <v>0</v>
      </c>
      <c r="V120" s="106">
        <f t="shared" si="34"/>
        <v>0</v>
      </c>
      <c r="W120" s="106">
        <f t="shared" si="34"/>
        <v>0</v>
      </c>
      <c r="X120" s="106">
        <f t="shared" si="34"/>
        <v>0</v>
      </c>
      <c r="Y120" s="106">
        <f t="shared" si="34"/>
        <v>0</v>
      </c>
      <c r="Z120" s="106">
        <f t="shared" si="34"/>
        <v>0</v>
      </c>
      <c r="AA120" s="106">
        <f t="shared" si="34"/>
        <v>0</v>
      </c>
      <c r="AB120" s="106">
        <f t="shared" si="34"/>
        <v>0</v>
      </c>
      <c r="AC120" s="106">
        <f t="shared" si="34"/>
        <v>0</v>
      </c>
      <c r="AD120" s="106">
        <f t="shared" si="34"/>
        <v>0</v>
      </c>
      <c r="AE120" s="106">
        <f t="shared" si="34"/>
        <v>0</v>
      </c>
      <c r="AF120" s="106">
        <f t="shared" si="34"/>
        <v>0</v>
      </c>
      <c r="AG120" s="106">
        <f t="shared" si="34"/>
        <v>0</v>
      </c>
      <c r="AH120" s="106">
        <f t="shared" si="34"/>
        <v>0</v>
      </c>
      <c r="AI120" s="106">
        <f t="shared" si="34"/>
        <v>0</v>
      </c>
      <c r="AJ120" s="106">
        <f t="shared" si="34"/>
        <v>0</v>
      </c>
    </row>
    <row r="121" spans="2:36" s="27" customFormat="1" ht="15">
      <c r="B121" s="95" t="s">
        <v>115</v>
      </c>
      <c r="C121" s="95"/>
      <c r="D121" s="95"/>
      <c r="E121" s="105">
        <f t="shared" si="30"/>
        <v>0</v>
      </c>
      <c r="F121" s="104"/>
      <c r="G121" s="106">
        <f aca="true" t="shared" si="35" ref="G121:AJ121">$E104*G104</f>
        <v>0</v>
      </c>
      <c r="H121" s="106">
        <f t="shared" si="35"/>
        <v>0</v>
      </c>
      <c r="I121" s="106">
        <f t="shared" si="35"/>
        <v>0</v>
      </c>
      <c r="J121" s="106">
        <f t="shared" si="35"/>
        <v>0</v>
      </c>
      <c r="K121" s="106">
        <f t="shared" si="35"/>
        <v>0</v>
      </c>
      <c r="L121" s="106">
        <f t="shared" si="35"/>
        <v>0</v>
      </c>
      <c r="M121" s="106">
        <f t="shared" si="35"/>
        <v>0</v>
      </c>
      <c r="N121" s="106">
        <f t="shared" si="35"/>
        <v>0</v>
      </c>
      <c r="O121" s="106">
        <f t="shared" si="35"/>
        <v>0</v>
      </c>
      <c r="P121" s="106">
        <f t="shared" si="35"/>
        <v>0</v>
      </c>
      <c r="Q121" s="106">
        <f t="shared" si="35"/>
        <v>0</v>
      </c>
      <c r="R121" s="106">
        <f t="shared" si="35"/>
        <v>0</v>
      </c>
      <c r="S121" s="106">
        <f t="shared" si="35"/>
        <v>0</v>
      </c>
      <c r="T121" s="106">
        <f t="shared" si="35"/>
        <v>0</v>
      </c>
      <c r="U121" s="106">
        <f t="shared" si="35"/>
        <v>0</v>
      </c>
      <c r="V121" s="106">
        <f t="shared" si="35"/>
        <v>0</v>
      </c>
      <c r="W121" s="106">
        <f t="shared" si="35"/>
        <v>0</v>
      </c>
      <c r="X121" s="106">
        <f t="shared" si="35"/>
        <v>0</v>
      </c>
      <c r="Y121" s="106">
        <f t="shared" si="35"/>
        <v>0</v>
      </c>
      <c r="Z121" s="106">
        <f t="shared" si="35"/>
        <v>0</v>
      </c>
      <c r="AA121" s="106">
        <f t="shared" si="35"/>
        <v>0</v>
      </c>
      <c r="AB121" s="106">
        <f t="shared" si="35"/>
        <v>0</v>
      </c>
      <c r="AC121" s="106">
        <f t="shared" si="35"/>
        <v>0</v>
      </c>
      <c r="AD121" s="106">
        <f t="shared" si="35"/>
        <v>0</v>
      </c>
      <c r="AE121" s="106">
        <f t="shared" si="35"/>
        <v>0</v>
      </c>
      <c r="AF121" s="106">
        <f t="shared" si="35"/>
        <v>0</v>
      </c>
      <c r="AG121" s="106">
        <f t="shared" si="35"/>
        <v>0</v>
      </c>
      <c r="AH121" s="106">
        <f t="shared" si="35"/>
        <v>0</v>
      </c>
      <c r="AI121" s="106">
        <f t="shared" si="35"/>
        <v>0</v>
      </c>
      <c r="AJ121" s="106">
        <f t="shared" si="35"/>
        <v>0</v>
      </c>
    </row>
    <row r="122" spans="2:36" s="27" customFormat="1" ht="15">
      <c r="B122" s="95" t="s">
        <v>69</v>
      </c>
      <c r="C122" s="95"/>
      <c r="D122" s="95"/>
      <c r="E122" s="105">
        <f t="shared" si="30"/>
        <v>0</v>
      </c>
      <c r="F122" s="104"/>
      <c r="G122" s="106">
        <f aca="true" t="shared" si="36" ref="G122:AJ122">$E105*G105</f>
        <v>0</v>
      </c>
      <c r="H122" s="106">
        <f t="shared" si="36"/>
        <v>0</v>
      </c>
      <c r="I122" s="106">
        <f t="shared" si="36"/>
        <v>0</v>
      </c>
      <c r="J122" s="106">
        <f t="shared" si="36"/>
        <v>0</v>
      </c>
      <c r="K122" s="106">
        <f t="shared" si="36"/>
        <v>0</v>
      </c>
      <c r="L122" s="106">
        <f t="shared" si="36"/>
        <v>0</v>
      </c>
      <c r="M122" s="106">
        <f t="shared" si="36"/>
        <v>0</v>
      </c>
      <c r="N122" s="106">
        <f t="shared" si="36"/>
        <v>0</v>
      </c>
      <c r="O122" s="106">
        <f t="shared" si="36"/>
        <v>0</v>
      </c>
      <c r="P122" s="106">
        <f t="shared" si="36"/>
        <v>0</v>
      </c>
      <c r="Q122" s="106">
        <f t="shared" si="36"/>
        <v>0</v>
      </c>
      <c r="R122" s="106">
        <f t="shared" si="36"/>
        <v>0</v>
      </c>
      <c r="S122" s="106">
        <f t="shared" si="36"/>
        <v>0</v>
      </c>
      <c r="T122" s="106">
        <f t="shared" si="36"/>
        <v>0</v>
      </c>
      <c r="U122" s="106">
        <f t="shared" si="36"/>
        <v>0</v>
      </c>
      <c r="V122" s="106">
        <f t="shared" si="36"/>
        <v>0</v>
      </c>
      <c r="W122" s="106">
        <f t="shared" si="36"/>
        <v>0</v>
      </c>
      <c r="X122" s="106">
        <f t="shared" si="36"/>
        <v>0</v>
      </c>
      <c r="Y122" s="106">
        <f t="shared" si="36"/>
        <v>0</v>
      </c>
      <c r="Z122" s="106">
        <f t="shared" si="36"/>
        <v>0</v>
      </c>
      <c r="AA122" s="106">
        <f t="shared" si="36"/>
        <v>0</v>
      </c>
      <c r="AB122" s="106">
        <f t="shared" si="36"/>
        <v>0</v>
      </c>
      <c r="AC122" s="106">
        <f t="shared" si="36"/>
        <v>0</v>
      </c>
      <c r="AD122" s="106">
        <f t="shared" si="36"/>
        <v>0</v>
      </c>
      <c r="AE122" s="106">
        <f t="shared" si="36"/>
        <v>0</v>
      </c>
      <c r="AF122" s="106">
        <f t="shared" si="36"/>
        <v>0</v>
      </c>
      <c r="AG122" s="106">
        <f t="shared" si="36"/>
        <v>0</v>
      </c>
      <c r="AH122" s="106">
        <f t="shared" si="36"/>
        <v>0</v>
      </c>
      <c r="AI122" s="106">
        <f t="shared" si="36"/>
        <v>0</v>
      </c>
      <c r="AJ122" s="106">
        <f t="shared" si="36"/>
        <v>0</v>
      </c>
    </row>
    <row r="123" spans="2:36" s="27" customFormat="1" ht="15">
      <c r="B123" s="95" t="s">
        <v>70</v>
      </c>
      <c r="C123" s="95"/>
      <c r="D123" s="95"/>
      <c r="E123" s="105">
        <f t="shared" si="30"/>
        <v>0</v>
      </c>
      <c r="F123" s="105"/>
      <c r="G123" s="106">
        <f aca="true" t="shared" si="37" ref="G123:AJ124">$E106*G106</f>
        <v>0</v>
      </c>
      <c r="H123" s="106">
        <f t="shared" si="37"/>
        <v>0</v>
      </c>
      <c r="I123" s="106">
        <f t="shared" si="37"/>
        <v>0</v>
      </c>
      <c r="J123" s="106">
        <f t="shared" si="37"/>
        <v>0</v>
      </c>
      <c r="K123" s="106">
        <f t="shared" si="37"/>
        <v>0</v>
      </c>
      <c r="L123" s="106">
        <f t="shared" si="37"/>
        <v>0</v>
      </c>
      <c r="M123" s="106">
        <f t="shared" si="37"/>
        <v>0</v>
      </c>
      <c r="N123" s="106">
        <f t="shared" si="37"/>
        <v>0</v>
      </c>
      <c r="O123" s="106">
        <f t="shared" si="37"/>
        <v>0</v>
      </c>
      <c r="P123" s="106">
        <f t="shared" si="37"/>
        <v>0</v>
      </c>
      <c r="Q123" s="106">
        <f t="shared" si="37"/>
        <v>0</v>
      </c>
      <c r="R123" s="106">
        <f t="shared" si="37"/>
        <v>0</v>
      </c>
      <c r="S123" s="106">
        <f t="shared" si="37"/>
        <v>0</v>
      </c>
      <c r="T123" s="106">
        <f t="shared" si="37"/>
        <v>0</v>
      </c>
      <c r="U123" s="106">
        <f t="shared" si="37"/>
        <v>0</v>
      </c>
      <c r="V123" s="106">
        <f t="shared" si="37"/>
        <v>0</v>
      </c>
      <c r="W123" s="106">
        <f t="shared" si="37"/>
        <v>0</v>
      </c>
      <c r="X123" s="106">
        <f t="shared" si="37"/>
        <v>0</v>
      </c>
      <c r="Y123" s="106">
        <f t="shared" si="37"/>
        <v>0</v>
      </c>
      <c r="Z123" s="106">
        <f t="shared" si="37"/>
        <v>0</v>
      </c>
      <c r="AA123" s="106">
        <f t="shared" si="37"/>
        <v>0</v>
      </c>
      <c r="AB123" s="106">
        <f t="shared" si="37"/>
        <v>0</v>
      </c>
      <c r="AC123" s="106">
        <f t="shared" si="37"/>
        <v>0</v>
      </c>
      <c r="AD123" s="106">
        <f t="shared" si="37"/>
        <v>0</v>
      </c>
      <c r="AE123" s="106">
        <f t="shared" si="37"/>
        <v>0</v>
      </c>
      <c r="AF123" s="106">
        <f t="shared" si="37"/>
        <v>0</v>
      </c>
      <c r="AG123" s="106">
        <f t="shared" si="37"/>
        <v>0</v>
      </c>
      <c r="AH123" s="106">
        <f t="shared" si="37"/>
        <v>0</v>
      </c>
      <c r="AI123" s="106">
        <f t="shared" si="37"/>
        <v>0</v>
      </c>
      <c r="AJ123" s="106">
        <f t="shared" si="37"/>
        <v>0</v>
      </c>
    </row>
    <row r="124" spans="2:36" s="27" customFormat="1" ht="15">
      <c r="B124" s="95" t="s">
        <v>269</v>
      </c>
      <c r="C124" s="95"/>
      <c r="D124" s="95"/>
      <c r="E124" s="105">
        <f t="shared" si="30"/>
        <v>3917906.5970588704</v>
      </c>
      <c r="F124" s="105"/>
      <c r="G124" s="106">
        <f t="shared" si="37"/>
        <v>3917906.5970588704</v>
      </c>
      <c r="H124" s="106">
        <f t="shared" si="37"/>
        <v>0</v>
      </c>
      <c r="I124" s="106">
        <f t="shared" si="37"/>
        <v>0</v>
      </c>
      <c r="J124" s="106">
        <f t="shared" si="37"/>
        <v>0</v>
      </c>
      <c r="K124" s="106">
        <f t="shared" si="37"/>
        <v>0</v>
      </c>
      <c r="L124" s="106">
        <f t="shared" si="37"/>
        <v>0</v>
      </c>
      <c r="M124" s="106">
        <f t="shared" si="37"/>
        <v>0</v>
      </c>
      <c r="N124" s="106">
        <f t="shared" si="37"/>
        <v>0</v>
      </c>
      <c r="O124" s="106">
        <f t="shared" si="37"/>
        <v>0</v>
      </c>
      <c r="P124" s="106">
        <f t="shared" si="37"/>
        <v>0</v>
      </c>
      <c r="Q124" s="106">
        <f t="shared" si="37"/>
        <v>0</v>
      </c>
      <c r="R124" s="106">
        <f t="shared" si="37"/>
        <v>0</v>
      </c>
      <c r="S124" s="106">
        <f t="shared" si="37"/>
        <v>0</v>
      </c>
      <c r="T124" s="106">
        <f t="shared" si="37"/>
        <v>0</v>
      </c>
      <c r="U124" s="106">
        <f t="shared" si="37"/>
        <v>0</v>
      </c>
      <c r="V124" s="106">
        <f t="shared" si="37"/>
        <v>0</v>
      </c>
      <c r="W124" s="106">
        <f t="shared" si="37"/>
        <v>0</v>
      </c>
      <c r="X124" s="106">
        <f t="shared" si="37"/>
        <v>0</v>
      </c>
      <c r="Y124" s="106">
        <f t="shared" si="37"/>
        <v>0</v>
      </c>
      <c r="Z124" s="106">
        <f t="shared" si="37"/>
        <v>0</v>
      </c>
      <c r="AA124" s="106">
        <f t="shared" si="37"/>
        <v>0</v>
      </c>
      <c r="AB124" s="106">
        <f t="shared" si="37"/>
        <v>0</v>
      </c>
      <c r="AC124" s="106">
        <f t="shared" si="37"/>
        <v>0</v>
      </c>
      <c r="AD124" s="106">
        <f t="shared" si="37"/>
        <v>0</v>
      </c>
      <c r="AE124" s="106">
        <f t="shared" si="37"/>
        <v>0</v>
      </c>
      <c r="AF124" s="106">
        <f t="shared" si="37"/>
        <v>0</v>
      </c>
      <c r="AG124" s="106">
        <f t="shared" si="37"/>
        <v>0</v>
      </c>
      <c r="AH124" s="106">
        <f t="shared" si="37"/>
        <v>0</v>
      </c>
      <c r="AI124" s="106">
        <f t="shared" si="37"/>
        <v>0</v>
      </c>
      <c r="AJ124" s="106">
        <f t="shared" si="37"/>
        <v>0</v>
      </c>
    </row>
    <row r="125" spans="2:36" s="27" customFormat="1" ht="15">
      <c r="B125" s="108" t="s">
        <v>25</v>
      </c>
      <c r="C125" s="108"/>
      <c r="D125" s="108"/>
      <c r="E125" s="109">
        <f>E108</f>
        <v>0</v>
      </c>
      <c r="F125" s="105"/>
      <c r="G125" s="107"/>
      <c r="H125" s="107"/>
      <c r="I125" s="107"/>
      <c r="J125" s="107"/>
      <c r="K125" s="107"/>
      <c r="L125" s="107"/>
      <c r="M125" s="107"/>
      <c r="N125" s="107"/>
      <c r="O125" s="107"/>
      <c r="P125" s="107"/>
      <c r="Q125" s="107"/>
      <c r="R125" s="107"/>
      <c r="S125" s="107"/>
      <c r="T125" s="107"/>
      <c r="U125" s="107"/>
      <c r="V125" s="107"/>
      <c r="W125" s="107"/>
      <c r="X125" s="107"/>
      <c r="Y125" s="107"/>
      <c r="Z125" s="107"/>
      <c r="AA125" s="107"/>
      <c r="AB125" s="107"/>
      <c r="AC125" s="107"/>
      <c r="AD125" s="107"/>
      <c r="AE125" s="107"/>
      <c r="AF125" s="107"/>
      <c r="AG125" s="107"/>
      <c r="AH125" s="107"/>
      <c r="AI125" s="107"/>
      <c r="AJ125" s="107"/>
    </row>
    <row r="126" spans="2:36" s="27" customFormat="1" ht="15">
      <c r="B126" s="110" t="s">
        <v>72</v>
      </c>
      <c r="C126" s="110"/>
      <c r="D126" s="110"/>
      <c r="E126" s="105">
        <f>SUM(E116:E125)</f>
        <v>3917906.5970588704</v>
      </c>
      <c r="F126" s="111" t="str">
        <f>IF(ROUND(E126,0)=ROUND(E110,0),"OK","error")</f>
        <v>OK</v>
      </c>
      <c r="G126" s="107"/>
      <c r="H126" s="107"/>
      <c r="I126" s="107"/>
      <c r="J126" s="107"/>
      <c r="K126" s="107"/>
      <c r="L126" s="107"/>
      <c r="M126" s="107"/>
      <c r="N126" s="107"/>
      <c r="O126" s="107"/>
      <c r="P126" s="107"/>
      <c r="Q126" s="107"/>
      <c r="R126" s="107"/>
      <c r="S126" s="107"/>
      <c r="T126" s="107"/>
      <c r="U126" s="107"/>
      <c r="V126" s="107"/>
      <c r="W126" s="107"/>
      <c r="X126" s="107"/>
      <c r="Y126" s="107"/>
      <c r="Z126" s="107"/>
      <c r="AA126" s="107"/>
      <c r="AB126" s="107"/>
      <c r="AC126" s="107"/>
      <c r="AD126" s="107"/>
      <c r="AE126" s="107"/>
      <c r="AF126" s="107"/>
      <c r="AG126" s="107"/>
      <c r="AH126" s="107"/>
      <c r="AI126" s="107"/>
      <c r="AJ126" s="107"/>
    </row>
    <row r="127" spans="2:36" s="27" customFormat="1" ht="15">
      <c r="B127" s="110"/>
      <c r="C127" s="110"/>
      <c r="D127" s="110"/>
      <c r="E127" s="105"/>
      <c r="F127" s="111"/>
      <c r="G127" s="107"/>
      <c r="H127" s="107"/>
      <c r="I127" s="107"/>
      <c r="J127" s="107"/>
      <c r="K127" s="107"/>
      <c r="L127" s="107"/>
      <c r="M127" s="107"/>
      <c r="N127" s="107"/>
      <c r="O127" s="107"/>
      <c r="P127" s="107"/>
      <c r="Q127" s="107"/>
      <c r="R127" s="107"/>
      <c r="S127" s="107"/>
      <c r="T127" s="107"/>
      <c r="U127" s="107"/>
      <c r="V127" s="107"/>
      <c r="W127" s="107"/>
      <c r="X127" s="107"/>
      <c r="Y127" s="107"/>
      <c r="Z127" s="107"/>
      <c r="AA127" s="107"/>
      <c r="AB127" s="107"/>
      <c r="AC127" s="107"/>
      <c r="AD127" s="107"/>
      <c r="AE127" s="107"/>
      <c r="AF127" s="107"/>
      <c r="AG127" s="107"/>
      <c r="AH127" s="107"/>
      <c r="AI127" s="107"/>
      <c r="AJ127" s="107"/>
    </row>
    <row r="128" spans="2:36" s="27" customFormat="1" ht="15.75">
      <c r="B128" s="97" t="s">
        <v>137</v>
      </c>
      <c r="C128" s="97"/>
      <c r="D128" s="97"/>
      <c r="E128" s="105"/>
      <c r="F128" s="111"/>
      <c r="G128" s="107"/>
      <c r="H128" s="107"/>
      <c r="I128" s="107"/>
      <c r="J128" s="107"/>
      <c r="K128" s="107"/>
      <c r="L128" s="107"/>
      <c r="M128" s="107"/>
      <c r="N128" s="107"/>
      <c r="O128" s="107"/>
      <c r="P128" s="107"/>
      <c r="Q128" s="107"/>
      <c r="R128" s="107"/>
      <c r="S128" s="107"/>
      <c r="T128" s="107"/>
      <c r="U128" s="107"/>
      <c r="V128" s="107"/>
      <c r="W128" s="107"/>
      <c r="X128" s="107"/>
      <c r="Y128" s="107"/>
      <c r="Z128" s="107"/>
      <c r="AA128" s="107"/>
      <c r="AB128" s="107"/>
      <c r="AC128" s="107"/>
      <c r="AD128" s="107"/>
      <c r="AE128" s="107"/>
      <c r="AF128" s="107"/>
      <c r="AG128" s="107"/>
      <c r="AH128" s="107"/>
      <c r="AI128" s="107"/>
      <c r="AJ128" s="107"/>
    </row>
    <row r="129" spans="2:36" s="27" customFormat="1" ht="15">
      <c r="B129" s="95" t="s">
        <v>138</v>
      </c>
      <c r="C129" s="95"/>
      <c r="D129" s="95"/>
      <c r="E129" s="105">
        <f>'CREST Inputs'!$Q$51*'CREST Inputs'!$G$8*1000</f>
        <v>346666.6666666667</v>
      </c>
      <c r="F129" s="111"/>
      <c r="G129" s="107">
        <f>IF(G$2='CREST Inputs'!$Q$50,'Cash Flow'!$E$129,0)</f>
        <v>0</v>
      </c>
      <c r="H129" s="107">
        <f>IF(H$2='CREST Inputs'!$Q$50,'Cash Flow'!$E$129,0)</f>
        <v>0</v>
      </c>
      <c r="I129" s="107">
        <f>IF(I$2='CREST Inputs'!$Q$50,'Cash Flow'!$E$129,0)</f>
        <v>0</v>
      </c>
      <c r="J129" s="107">
        <f>IF(J$2='CREST Inputs'!$Q$50,'Cash Flow'!$E$129,0)</f>
        <v>0</v>
      </c>
      <c r="K129" s="107">
        <f>IF(K$2='CREST Inputs'!$Q$50,'Cash Flow'!$E$129,0)</f>
        <v>0</v>
      </c>
      <c r="L129" s="107">
        <f>IF(L$2='CREST Inputs'!$Q$50,'Cash Flow'!$E$129,0)</f>
        <v>0</v>
      </c>
      <c r="M129" s="107">
        <f>IF(M$2='CREST Inputs'!$Q$50,'Cash Flow'!$E$129,0)</f>
        <v>0</v>
      </c>
      <c r="N129" s="107">
        <f>IF(N$2='CREST Inputs'!$Q$50,'Cash Flow'!$E$129,0)</f>
        <v>0</v>
      </c>
      <c r="O129" s="107">
        <f>IF(O$2='CREST Inputs'!$Q$50,'Cash Flow'!$E$129,0)</f>
        <v>0</v>
      </c>
      <c r="P129" s="107">
        <f>IF(P$2='CREST Inputs'!$Q$50,'Cash Flow'!$E$129,0)</f>
        <v>346666.6666666667</v>
      </c>
      <c r="Q129" s="107">
        <f>IF(Q$2='CREST Inputs'!$Q$50,'Cash Flow'!$E$129,0)</f>
        <v>0</v>
      </c>
      <c r="R129" s="107">
        <f>IF(R$2='CREST Inputs'!$Q$50,'Cash Flow'!$E$129,0)</f>
        <v>0</v>
      </c>
      <c r="S129" s="107">
        <f>IF(S$2='CREST Inputs'!$Q$50,'Cash Flow'!$E$129,0)</f>
        <v>0</v>
      </c>
      <c r="T129" s="107">
        <f>IF(T$2='CREST Inputs'!$Q$50,'Cash Flow'!$E$129,0)</f>
        <v>0</v>
      </c>
      <c r="U129" s="107">
        <f>IF(U$2='CREST Inputs'!$Q$50,'Cash Flow'!$E$129,0)</f>
        <v>0</v>
      </c>
      <c r="V129" s="107">
        <f>IF(V$2='CREST Inputs'!$Q$50,'Cash Flow'!$E$129,0)</f>
        <v>0</v>
      </c>
      <c r="W129" s="107">
        <f>IF(W$2='CREST Inputs'!$Q$50,'Cash Flow'!$E$129,0)</f>
        <v>0</v>
      </c>
      <c r="X129" s="107">
        <f>IF(X$2='CREST Inputs'!$Q$50,'Cash Flow'!$E$129,0)</f>
        <v>0</v>
      </c>
      <c r="Y129" s="107">
        <f>IF(Y$2='CREST Inputs'!$Q$50,'Cash Flow'!$E$129,0)</f>
        <v>0</v>
      </c>
      <c r="Z129" s="107">
        <f>IF(Z$2='CREST Inputs'!$Q$50,'Cash Flow'!$E$129,0)</f>
        <v>0</v>
      </c>
      <c r="AA129" s="107">
        <f>IF(AA$2='CREST Inputs'!$Q$50,'Cash Flow'!$E$129,0)</f>
        <v>0</v>
      </c>
      <c r="AB129" s="107">
        <f>IF(AB$2='CREST Inputs'!$Q$50,'Cash Flow'!$E$129,0)</f>
        <v>0</v>
      </c>
      <c r="AC129" s="107">
        <f>IF(AC$2='CREST Inputs'!$Q$50,'Cash Flow'!$E$129,0)</f>
        <v>0</v>
      </c>
      <c r="AD129" s="107">
        <f>IF(AD$2='CREST Inputs'!$Q$50,'Cash Flow'!$E$129,0)</f>
        <v>0</v>
      </c>
      <c r="AE129" s="107">
        <f>IF(AE$2='CREST Inputs'!$Q$50,'Cash Flow'!$E$129,0)</f>
        <v>0</v>
      </c>
      <c r="AF129" s="107">
        <f>IF(AF$2='CREST Inputs'!$Q$50,'Cash Flow'!$E$129,0)</f>
        <v>0</v>
      </c>
      <c r="AG129" s="107">
        <f>IF(AG$2='CREST Inputs'!$Q$50,'Cash Flow'!$E$129,0)</f>
        <v>0</v>
      </c>
      <c r="AH129" s="107">
        <f>IF(AH$2='CREST Inputs'!$Q$50,'Cash Flow'!$E$129,0)</f>
        <v>0</v>
      </c>
      <c r="AI129" s="107">
        <f>IF(AI$2='CREST Inputs'!$Q$50,'Cash Flow'!$E$129,0)</f>
        <v>0</v>
      </c>
      <c r="AJ129" s="107">
        <f>IF(AJ$2='CREST Inputs'!$Q$50,'Cash Flow'!$E$129,0)</f>
        <v>0</v>
      </c>
    </row>
    <row r="130" spans="2:36" s="27" customFormat="1" ht="15">
      <c r="B130" s="95" t="s">
        <v>140</v>
      </c>
      <c r="C130" s="95"/>
      <c r="D130" s="95"/>
      <c r="E130" s="105"/>
      <c r="F130" s="111"/>
      <c r="G130" s="112">
        <f>IF(G129&gt;0,1,IF(F130&gt;0,F130+1,0))</f>
        <v>0</v>
      </c>
      <c r="H130" s="112">
        <f aca="true" t="shared" si="38" ref="H130:AJ130">IF(H129&gt;0,1,IF(G130&gt;0,G130+1,0))</f>
        <v>0</v>
      </c>
      <c r="I130" s="112">
        <f t="shared" si="38"/>
        <v>0</v>
      </c>
      <c r="J130" s="112">
        <f t="shared" si="38"/>
        <v>0</v>
      </c>
      <c r="K130" s="112">
        <f t="shared" si="38"/>
        <v>0</v>
      </c>
      <c r="L130" s="112">
        <f t="shared" si="38"/>
        <v>0</v>
      </c>
      <c r="M130" s="112">
        <f t="shared" si="38"/>
        <v>0</v>
      </c>
      <c r="N130" s="112">
        <f t="shared" si="38"/>
        <v>0</v>
      </c>
      <c r="O130" s="112">
        <f t="shared" si="38"/>
        <v>0</v>
      </c>
      <c r="P130" s="112">
        <f t="shared" si="38"/>
        <v>1</v>
      </c>
      <c r="Q130" s="112">
        <f t="shared" si="38"/>
        <v>2</v>
      </c>
      <c r="R130" s="112">
        <f t="shared" si="38"/>
        <v>3</v>
      </c>
      <c r="S130" s="112">
        <f t="shared" si="38"/>
        <v>4</v>
      </c>
      <c r="T130" s="112">
        <f t="shared" si="38"/>
        <v>5</v>
      </c>
      <c r="U130" s="112">
        <f t="shared" si="38"/>
        <v>6</v>
      </c>
      <c r="V130" s="112">
        <f t="shared" si="38"/>
        <v>7</v>
      </c>
      <c r="W130" s="112">
        <f t="shared" si="38"/>
        <v>8</v>
      </c>
      <c r="X130" s="112">
        <f t="shared" si="38"/>
        <v>9</v>
      </c>
      <c r="Y130" s="112">
        <f t="shared" si="38"/>
        <v>10</v>
      </c>
      <c r="Z130" s="112">
        <f t="shared" si="38"/>
        <v>11</v>
      </c>
      <c r="AA130" s="112">
        <f t="shared" si="38"/>
        <v>12</v>
      </c>
      <c r="AB130" s="112">
        <f t="shared" si="38"/>
        <v>13</v>
      </c>
      <c r="AC130" s="112">
        <f t="shared" si="38"/>
        <v>14</v>
      </c>
      <c r="AD130" s="112">
        <f t="shared" si="38"/>
        <v>15</v>
      </c>
      <c r="AE130" s="112">
        <f t="shared" si="38"/>
        <v>16</v>
      </c>
      <c r="AF130" s="112">
        <f t="shared" si="38"/>
        <v>17</v>
      </c>
      <c r="AG130" s="112">
        <f t="shared" si="38"/>
        <v>18</v>
      </c>
      <c r="AH130" s="112">
        <f t="shared" si="38"/>
        <v>19</v>
      </c>
      <c r="AI130" s="112">
        <f t="shared" si="38"/>
        <v>20</v>
      </c>
      <c r="AJ130" s="112">
        <f t="shared" si="38"/>
        <v>21</v>
      </c>
    </row>
    <row r="131" spans="2:36" s="27" customFormat="1" ht="15">
      <c r="B131" s="95" t="s">
        <v>141</v>
      </c>
      <c r="C131" s="95"/>
      <c r="D131" s="95"/>
      <c r="E131" s="105"/>
      <c r="F131" s="111"/>
      <c r="G131" s="107">
        <f aca="true" t="shared" si="39" ref="G131:AJ131">IF(G130=0,0,$E$129*LOOKUP(G130,$G$97:$AJ$97,$G$99:$AJ$99))</f>
        <v>0</v>
      </c>
      <c r="H131" s="107">
        <f t="shared" si="39"/>
        <v>0</v>
      </c>
      <c r="I131" s="107">
        <f t="shared" si="39"/>
        <v>0</v>
      </c>
      <c r="J131" s="107">
        <f t="shared" si="39"/>
        <v>0</v>
      </c>
      <c r="K131" s="107">
        <f t="shared" si="39"/>
        <v>0</v>
      </c>
      <c r="L131" s="107">
        <f t="shared" si="39"/>
        <v>0</v>
      </c>
      <c r="M131" s="107">
        <f t="shared" si="39"/>
        <v>0</v>
      </c>
      <c r="N131" s="107">
        <f t="shared" si="39"/>
        <v>0</v>
      </c>
      <c r="O131" s="107">
        <f t="shared" si="39"/>
        <v>0</v>
      </c>
      <c r="P131" s="107">
        <f t="shared" si="39"/>
        <v>69333.33333333334</v>
      </c>
      <c r="Q131" s="107">
        <f t="shared" si="39"/>
        <v>110933.33333333334</v>
      </c>
      <c r="R131" s="107">
        <f t="shared" si="39"/>
        <v>66560</v>
      </c>
      <c r="S131" s="107">
        <f t="shared" si="39"/>
        <v>39936</v>
      </c>
      <c r="T131" s="107">
        <f t="shared" si="39"/>
        <v>39936</v>
      </c>
      <c r="U131" s="107">
        <f t="shared" si="39"/>
        <v>19968</v>
      </c>
      <c r="V131" s="107">
        <f t="shared" si="39"/>
        <v>0</v>
      </c>
      <c r="W131" s="107">
        <f t="shared" si="39"/>
        <v>0</v>
      </c>
      <c r="X131" s="107">
        <f t="shared" si="39"/>
        <v>0</v>
      </c>
      <c r="Y131" s="107">
        <f t="shared" si="39"/>
        <v>0</v>
      </c>
      <c r="Z131" s="107">
        <f t="shared" si="39"/>
        <v>0</v>
      </c>
      <c r="AA131" s="107">
        <f t="shared" si="39"/>
        <v>0</v>
      </c>
      <c r="AB131" s="107">
        <f t="shared" si="39"/>
        <v>0</v>
      </c>
      <c r="AC131" s="107">
        <f t="shared" si="39"/>
        <v>0</v>
      </c>
      <c r="AD131" s="107">
        <f t="shared" si="39"/>
        <v>0</v>
      </c>
      <c r="AE131" s="107">
        <f t="shared" si="39"/>
        <v>0</v>
      </c>
      <c r="AF131" s="107">
        <f t="shared" si="39"/>
        <v>0</v>
      </c>
      <c r="AG131" s="107">
        <f t="shared" si="39"/>
        <v>0</v>
      </c>
      <c r="AH131" s="107">
        <f t="shared" si="39"/>
        <v>0</v>
      </c>
      <c r="AI131" s="107">
        <f t="shared" si="39"/>
        <v>0</v>
      </c>
      <c r="AJ131" s="107">
        <f t="shared" si="39"/>
        <v>0</v>
      </c>
    </row>
    <row r="132" spans="2:36" s="27" customFormat="1" ht="15">
      <c r="B132" s="95" t="s">
        <v>139</v>
      </c>
      <c r="C132" s="95"/>
      <c r="D132" s="95"/>
      <c r="E132" s="105">
        <f>'CREST Inputs'!$Q$53*'CREST Inputs'!$G$8*1000</f>
        <v>0</v>
      </c>
      <c r="F132" s="111"/>
      <c r="G132" s="107">
        <f>IF(G$2='CREST Inputs'!$Q$52,'Cash Flow'!$E$132,0)</f>
        <v>0</v>
      </c>
      <c r="H132" s="107">
        <f>IF(H$2='CREST Inputs'!$Q$52,'Cash Flow'!$E$132,0)</f>
        <v>0</v>
      </c>
      <c r="I132" s="107">
        <f>IF(I$2='CREST Inputs'!$Q$52,'Cash Flow'!$E$132,0)</f>
        <v>0</v>
      </c>
      <c r="J132" s="107">
        <f>IF(J$2='CREST Inputs'!$Q$52,'Cash Flow'!$E$132,0)</f>
        <v>0</v>
      </c>
      <c r="K132" s="107">
        <f>IF(K$2='CREST Inputs'!$Q$52,'Cash Flow'!$E$132,0)</f>
        <v>0</v>
      </c>
      <c r="L132" s="107">
        <f>IF(L$2='CREST Inputs'!$Q$52,'Cash Flow'!$E$132,0)</f>
        <v>0</v>
      </c>
      <c r="M132" s="107">
        <f>IF(M$2='CREST Inputs'!$Q$52,'Cash Flow'!$E$132,0)</f>
        <v>0</v>
      </c>
      <c r="N132" s="107">
        <f>IF(N$2='CREST Inputs'!$Q$52,'Cash Flow'!$E$132,0)</f>
        <v>0</v>
      </c>
      <c r="O132" s="107">
        <f>IF(O$2='CREST Inputs'!$Q$52,'Cash Flow'!$E$132,0)</f>
        <v>0</v>
      </c>
      <c r="P132" s="107">
        <f>IF(P$2='CREST Inputs'!$Q$52,'Cash Flow'!$E$132,0)</f>
        <v>0</v>
      </c>
      <c r="Q132" s="107">
        <f>IF(Q$2='CREST Inputs'!$Q$52,'Cash Flow'!$E$132,0)</f>
        <v>0</v>
      </c>
      <c r="R132" s="107">
        <f>IF(R$2='CREST Inputs'!$Q$52,'Cash Flow'!$E$132,0)</f>
        <v>0</v>
      </c>
      <c r="S132" s="107">
        <f>IF(S$2='CREST Inputs'!$Q$52,'Cash Flow'!$E$132,0)</f>
        <v>0</v>
      </c>
      <c r="T132" s="107">
        <f>IF(T$2='CREST Inputs'!$Q$52,'Cash Flow'!$E$132,0)</f>
        <v>0</v>
      </c>
      <c r="U132" s="107">
        <f>IF(U$2='CREST Inputs'!$Q$52,'Cash Flow'!$E$132,0)</f>
        <v>0</v>
      </c>
      <c r="V132" s="107">
        <f>IF(V$2='CREST Inputs'!$Q$52,'Cash Flow'!$E$132,0)</f>
        <v>0</v>
      </c>
      <c r="W132" s="107">
        <f>IF(W$2='CREST Inputs'!$Q$52,'Cash Flow'!$E$132,0)</f>
        <v>0</v>
      </c>
      <c r="X132" s="107">
        <f>IF(X$2='CREST Inputs'!$Q$52,'Cash Flow'!$E$132,0)</f>
        <v>0</v>
      </c>
      <c r="Y132" s="107">
        <f>IF(Y$2='CREST Inputs'!$Q$52,'Cash Flow'!$E$132,0)</f>
        <v>0</v>
      </c>
      <c r="Z132" s="107">
        <f>IF(Z$2='CREST Inputs'!$Q$52,'Cash Flow'!$E$132,0)</f>
        <v>0</v>
      </c>
      <c r="AA132" s="107">
        <f>IF(AA$2='CREST Inputs'!$Q$52,'Cash Flow'!$E$132,0)</f>
        <v>0</v>
      </c>
      <c r="AB132" s="107">
        <f>IF(AB$2='CREST Inputs'!$Q$52,'Cash Flow'!$E$132,0)</f>
        <v>0</v>
      </c>
      <c r="AC132" s="107">
        <f>IF(AC$2='CREST Inputs'!$Q$52,'Cash Flow'!$E$132,0)</f>
        <v>0</v>
      </c>
      <c r="AD132" s="107">
        <f>IF(AD$2='CREST Inputs'!$Q$52,'Cash Flow'!$E$132,0)</f>
        <v>0</v>
      </c>
      <c r="AE132" s="107">
        <f>IF(AE$2='CREST Inputs'!$Q$52,'Cash Flow'!$E$132,0)</f>
        <v>0</v>
      </c>
      <c r="AF132" s="107">
        <f>IF(AF$2='CREST Inputs'!$Q$52,'Cash Flow'!$E$132,0)</f>
        <v>0</v>
      </c>
      <c r="AG132" s="107">
        <f>IF(AG$2='CREST Inputs'!$Q$52,'Cash Flow'!$E$132,0)</f>
        <v>0</v>
      </c>
      <c r="AH132" s="107">
        <f>IF(AH$2='CREST Inputs'!$Q$52,'Cash Flow'!$E$132,0)</f>
        <v>0</v>
      </c>
      <c r="AI132" s="107">
        <f>IF(AI$2='CREST Inputs'!$Q$52,'Cash Flow'!$E$132,0)</f>
        <v>0</v>
      </c>
      <c r="AJ132" s="107">
        <f>IF(AJ$2='CREST Inputs'!$Q$52,'Cash Flow'!$E$132,0)</f>
        <v>0</v>
      </c>
    </row>
    <row r="133" spans="2:36" s="27" customFormat="1" ht="15">
      <c r="B133" s="95" t="s">
        <v>140</v>
      </c>
      <c r="C133" s="95"/>
      <c r="D133" s="95"/>
      <c r="E133" s="105"/>
      <c r="F133" s="111"/>
      <c r="G133" s="112">
        <f aca="true" t="shared" si="40" ref="G133:AJ133">IF(G132&gt;0,1,IF(F133&gt;0,F133+1,0))</f>
        <v>0</v>
      </c>
      <c r="H133" s="112">
        <f t="shared" si="40"/>
        <v>0</v>
      </c>
      <c r="I133" s="112">
        <f t="shared" si="40"/>
        <v>0</v>
      </c>
      <c r="J133" s="112">
        <f t="shared" si="40"/>
        <v>0</v>
      </c>
      <c r="K133" s="112">
        <f t="shared" si="40"/>
        <v>0</v>
      </c>
      <c r="L133" s="112">
        <f t="shared" si="40"/>
        <v>0</v>
      </c>
      <c r="M133" s="112">
        <f t="shared" si="40"/>
        <v>0</v>
      </c>
      <c r="N133" s="112">
        <f t="shared" si="40"/>
        <v>0</v>
      </c>
      <c r="O133" s="112">
        <f t="shared" si="40"/>
        <v>0</v>
      </c>
      <c r="P133" s="112">
        <f t="shared" si="40"/>
        <v>0</v>
      </c>
      <c r="Q133" s="112">
        <f t="shared" si="40"/>
        <v>0</v>
      </c>
      <c r="R133" s="112">
        <f t="shared" si="40"/>
        <v>0</v>
      </c>
      <c r="S133" s="112">
        <f t="shared" si="40"/>
        <v>0</v>
      </c>
      <c r="T133" s="112">
        <f t="shared" si="40"/>
        <v>0</v>
      </c>
      <c r="U133" s="112">
        <f t="shared" si="40"/>
        <v>0</v>
      </c>
      <c r="V133" s="112">
        <f t="shared" si="40"/>
        <v>0</v>
      </c>
      <c r="W133" s="112">
        <f t="shared" si="40"/>
        <v>0</v>
      </c>
      <c r="X133" s="112">
        <f t="shared" si="40"/>
        <v>0</v>
      </c>
      <c r="Y133" s="112">
        <f t="shared" si="40"/>
        <v>0</v>
      </c>
      <c r="Z133" s="112">
        <f t="shared" si="40"/>
        <v>0</v>
      </c>
      <c r="AA133" s="112">
        <f t="shared" si="40"/>
        <v>0</v>
      </c>
      <c r="AB133" s="112">
        <f t="shared" si="40"/>
        <v>0</v>
      </c>
      <c r="AC133" s="112">
        <f t="shared" si="40"/>
        <v>0</v>
      </c>
      <c r="AD133" s="112">
        <f t="shared" si="40"/>
        <v>0</v>
      </c>
      <c r="AE133" s="112">
        <f t="shared" si="40"/>
        <v>0</v>
      </c>
      <c r="AF133" s="112">
        <f t="shared" si="40"/>
        <v>0</v>
      </c>
      <c r="AG133" s="112">
        <f t="shared" si="40"/>
        <v>0</v>
      </c>
      <c r="AH133" s="112">
        <f t="shared" si="40"/>
        <v>0</v>
      </c>
      <c r="AI133" s="112">
        <f t="shared" si="40"/>
        <v>0</v>
      </c>
      <c r="AJ133" s="112">
        <f t="shared" si="40"/>
        <v>0</v>
      </c>
    </row>
    <row r="134" spans="2:36" s="27" customFormat="1" ht="15">
      <c r="B134" s="95" t="s">
        <v>141</v>
      </c>
      <c r="C134" s="95"/>
      <c r="D134" s="95"/>
      <c r="E134" s="105"/>
      <c r="F134" s="111"/>
      <c r="G134" s="107">
        <f aca="true" t="shared" si="41" ref="G134:AJ134">IF(G133=0,0,$E$132*LOOKUP(G133,$G$97:$AJ$97,$G$99:$AJ$99))</f>
        <v>0</v>
      </c>
      <c r="H134" s="107">
        <f t="shared" si="41"/>
        <v>0</v>
      </c>
      <c r="I134" s="107">
        <f t="shared" si="41"/>
        <v>0</v>
      </c>
      <c r="J134" s="107">
        <f t="shared" si="41"/>
        <v>0</v>
      </c>
      <c r="K134" s="107">
        <f t="shared" si="41"/>
        <v>0</v>
      </c>
      <c r="L134" s="107">
        <f t="shared" si="41"/>
        <v>0</v>
      </c>
      <c r="M134" s="107">
        <f t="shared" si="41"/>
        <v>0</v>
      </c>
      <c r="N134" s="107">
        <f t="shared" si="41"/>
        <v>0</v>
      </c>
      <c r="O134" s="107">
        <f t="shared" si="41"/>
        <v>0</v>
      </c>
      <c r="P134" s="107">
        <f t="shared" si="41"/>
        <v>0</v>
      </c>
      <c r="Q134" s="107">
        <f t="shared" si="41"/>
        <v>0</v>
      </c>
      <c r="R134" s="107">
        <f t="shared" si="41"/>
        <v>0</v>
      </c>
      <c r="S134" s="107">
        <f t="shared" si="41"/>
        <v>0</v>
      </c>
      <c r="T134" s="107">
        <f t="shared" si="41"/>
        <v>0</v>
      </c>
      <c r="U134" s="107">
        <f t="shared" si="41"/>
        <v>0</v>
      </c>
      <c r="V134" s="107">
        <f t="shared" si="41"/>
        <v>0</v>
      </c>
      <c r="W134" s="107">
        <f t="shared" si="41"/>
        <v>0</v>
      </c>
      <c r="X134" s="107">
        <f t="shared" si="41"/>
        <v>0</v>
      </c>
      <c r="Y134" s="107">
        <f t="shared" si="41"/>
        <v>0</v>
      </c>
      <c r="Z134" s="107">
        <f t="shared" si="41"/>
        <v>0</v>
      </c>
      <c r="AA134" s="107">
        <f t="shared" si="41"/>
        <v>0</v>
      </c>
      <c r="AB134" s="107">
        <f t="shared" si="41"/>
        <v>0</v>
      </c>
      <c r="AC134" s="107">
        <f t="shared" si="41"/>
        <v>0</v>
      </c>
      <c r="AD134" s="107">
        <f t="shared" si="41"/>
        <v>0</v>
      </c>
      <c r="AE134" s="107">
        <f t="shared" si="41"/>
        <v>0</v>
      </c>
      <c r="AF134" s="107">
        <f t="shared" si="41"/>
        <v>0</v>
      </c>
      <c r="AG134" s="107">
        <f t="shared" si="41"/>
        <v>0</v>
      </c>
      <c r="AH134" s="107">
        <f t="shared" si="41"/>
        <v>0</v>
      </c>
      <c r="AI134" s="107">
        <f t="shared" si="41"/>
        <v>0</v>
      </c>
      <c r="AJ134" s="107">
        <f t="shared" si="41"/>
        <v>0</v>
      </c>
    </row>
    <row r="135" spans="2:36" s="27" customFormat="1" ht="15">
      <c r="B135" s="110"/>
      <c r="C135" s="110"/>
      <c r="D135" s="110"/>
      <c r="E135" s="105"/>
      <c r="F135" s="111"/>
      <c r="G135" s="107"/>
      <c r="H135" s="107"/>
      <c r="I135" s="107"/>
      <c r="J135" s="107"/>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row>
    <row r="136" spans="2:36" s="27" customFormat="1" ht="15">
      <c r="B136" s="95" t="s">
        <v>190</v>
      </c>
      <c r="C136" s="95"/>
      <c r="D136" s="95"/>
      <c r="E136" s="104"/>
      <c r="F136" s="143"/>
      <c r="G136" s="113">
        <f>IF(AND('CREST Inputs'!$G$73="Yes",G$2&lt;='CREST Inputs'!$G$15),SUM('Cash Flow'!G116:G124)+G131+G134,0)</f>
        <v>3917906.5970588704</v>
      </c>
      <c r="H136" s="113">
        <f>IF(AND('CREST Inputs'!$G$73="Yes",H$2&lt;='CREST Inputs'!$G$15),SUM('Cash Flow'!H116:H124)+H131+H134,0)</f>
        <v>0</v>
      </c>
      <c r="I136" s="113">
        <f>IF(AND('CREST Inputs'!$G$73="Yes",I$2&lt;='CREST Inputs'!$G$15),SUM('Cash Flow'!I116:I124)+I131+I134,0)</f>
        <v>0</v>
      </c>
      <c r="J136" s="113">
        <f>IF(AND('CREST Inputs'!$G$73="Yes",J$2&lt;='CREST Inputs'!$G$15),SUM('Cash Flow'!J116:J124)+J131+J134,0)</f>
        <v>0</v>
      </c>
      <c r="K136" s="113">
        <f>IF(AND('CREST Inputs'!$G$73="Yes",K$2&lt;='CREST Inputs'!$G$15),SUM('Cash Flow'!K116:K124)+K131+K134,0)</f>
        <v>0</v>
      </c>
      <c r="L136" s="113">
        <f>IF(AND('CREST Inputs'!$G$73="Yes",L$2&lt;='CREST Inputs'!$G$15),SUM('Cash Flow'!L116:L124)+L131+L134,0)</f>
        <v>0</v>
      </c>
      <c r="M136" s="113">
        <f>IF(AND('CREST Inputs'!$G$73="Yes",M$2&lt;='CREST Inputs'!$G$15),SUM('Cash Flow'!M116:M124)+M131+M134,0)</f>
        <v>0</v>
      </c>
      <c r="N136" s="113">
        <f>IF(AND('CREST Inputs'!$G$73="Yes",N$2&lt;='CREST Inputs'!$G$15),SUM('Cash Flow'!N116:N124)+N131+N134,0)</f>
        <v>0</v>
      </c>
      <c r="O136" s="113">
        <f>IF(AND('CREST Inputs'!$G$73="Yes",O$2&lt;='CREST Inputs'!$G$15),SUM('Cash Flow'!O116:O124)+O131+O134,0)</f>
        <v>0</v>
      </c>
      <c r="P136" s="113">
        <f>IF(AND('CREST Inputs'!$G$73="Yes",P$2&lt;='CREST Inputs'!$G$15),SUM('Cash Flow'!P116:P124)+P131+P134,0)</f>
        <v>69333.33333333334</v>
      </c>
      <c r="Q136" s="113">
        <f>IF(AND('CREST Inputs'!$G$73="Yes",Q$2&lt;='CREST Inputs'!$G$15),SUM('Cash Flow'!Q116:Q124)+Q131+Q134,0)</f>
        <v>110933.33333333334</v>
      </c>
      <c r="R136" s="113">
        <f>IF(AND('CREST Inputs'!$G$73="Yes",R$2&lt;='CREST Inputs'!$G$15),SUM('Cash Flow'!R116:R124)+R131+R134,0)</f>
        <v>66560</v>
      </c>
      <c r="S136" s="113">
        <f>IF(AND('CREST Inputs'!$G$73="Yes",S$2&lt;='CREST Inputs'!$G$15),SUM('Cash Flow'!S116:S124)+S131+S134,0)</f>
        <v>39936</v>
      </c>
      <c r="T136" s="113">
        <f>IF(AND('CREST Inputs'!$G$73="Yes",T$2&lt;='CREST Inputs'!$G$15),SUM('Cash Flow'!T116:T124)+T131+T134,0)</f>
        <v>39936</v>
      </c>
      <c r="U136" s="113">
        <f>IF(AND('CREST Inputs'!$G$73="Yes",U$2&lt;='CREST Inputs'!$G$15),SUM('Cash Flow'!U116:U124)+U131+U134,0)</f>
        <v>19968</v>
      </c>
      <c r="V136" s="113">
        <f>IF(AND('CREST Inputs'!$G$73="Yes",V$2&lt;='CREST Inputs'!$G$15),SUM('Cash Flow'!V116:V124)+V131+V134,0)</f>
        <v>0</v>
      </c>
      <c r="W136" s="113">
        <f>IF(AND('CREST Inputs'!$G$73="Yes",W$2&lt;='CREST Inputs'!$G$15),SUM('Cash Flow'!W116:W124)+W131+W134,0)</f>
        <v>0</v>
      </c>
      <c r="X136" s="113">
        <f>IF(AND('CREST Inputs'!$G$73="Yes",X$2&lt;='CREST Inputs'!$G$15),SUM('Cash Flow'!X116:X124)+X131+X134,0)</f>
        <v>0</v>
      </c>
      <c r="Y136" s="113">
        <f>IF(AND('CREST Inputs'!$G$73="Yes",Y$2&lt;='CREST Inputs'!$G$15),SUM('Cash Flow'!Y116:Y124)+Y131+Y134,0)</f>
        <v>0</v>
      </c>
      <c r="Z136" s="113">
        <f>IF(AND('CREST Inputs'!$G$73="Yes",Z$2&lt;='CREST Inputs'!$G$15),SUM('Cash Flow'!Z116:Z124)+Z131+Z134,0)</f>
        <v>0</v>
      </c>
      <c r="AA136" s="113">
        <f>IF(AND('CREST Inputs'!$G$73="Yes",AA$2&lt;='CREST Inputs'!$G$15),SUM('Cash Flow'!AA116:AA124)+AA131+AA134,0)</f>
        <v>0</v>
      </c>
      <c r="AB136" s="113">
        <f>IF(AND('CREST Inputs'!$G$73="Yes",AB$2&lt;='CREST Inputs'!$G$15),SUM('Cash Flow'!AB116:AB124)+AB131+AB134,0)</f>
        <v>0</v>
      </c>
      <c r="AC136" s="113">
        <f>IF(AND('CREST Inputs'!$G$73="Yes",AC$2&lt;='CREST Inputs'!$G$15),SUM('Cash Flow'!AC116:AC124)+AC131+AC134,0)</f>
        <v>0</v>
      </c>
      <c r="AD136" s="113">
        <f>IF(AND('CREST Inputs'!$G$73="Yes",AD$2&lt;='CREST Inputs'!$G$15),SUM('Cash Flow'!AD116:AD124)+AD131+AD134,0)</f>
        <v>0</v>
      </c>
      <c r="AE136" s="113">
        <f>IF(AND('CREST Inputs'!$G$73="Yes",AE$2&lt;='CREST Inputs'!$G$15),SUM('Cash Flow'!AE116:AE124)+AE131+AE134,0)</f>
        <v>0</v>
      </c>
      <c r="AF136" s="113">
        <f>IF(AND('CREST Inputs'!$G$73="Yes",AF$2&lt;='CREST Inputs'!$G$15),SUM('Cash Flow'!AF116:AF124)+AF131+AF134,0)</f>
        <v>0</v>
      </c>
      <c r="AG136" s="113">
        <f>IF(AND('CREST Inputs'!$G$73="Yes",AG$2&lt;='CREST Inputs'!$G$15),SUM('Cash Flow'!AG116:AG124)+AG131+AG134,0)</f>
        <v>0</v>
      </c>
      <c r="AH136" s="113">
        <f>IF(AND('CREST Inputs'!$G$73="Yes",AH$2&lt;='CREST Inputs'!$G$15),SUM('Cash Flow'!AH116:AH124)+AH131+AH134,0)</f>
        <v>0</v>
      </c>
      <c r="AI136" s="113">
        <f>IF(AND('CREST Inputs'!$G$73="Yes",AI$2&lt;='CREST Inputs'!$G$15),SUM('Cash Flow'!AI116:AI124)+AI131+AI134,0)</f>
        <v>0</v>
      </c>
      <c r="AJ136" s="113">
        <f>IF(AND('CREST Inputs'!$G$73="Yes",AJ$2&lt;='CREST Inputs'!$G$15),SUM('Cash Flow'!AJ116:AJ124)+AJ131+AJ134,0)</f>
        <v>0</v>
      </c>
    </row>
    <row r="137" spans="2:36" s="27" customFormat="1" ht="15">
      <c r="B137" s="95"/>
      <c r="C137" s="95"/>
      <c r="D137" s="95"/>
      <c r="E137" s="104"/>
      <c r="F137" s="14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row>
    <row r="138" spans="2:36" s="27" customFormat="1" ht="15">
      <c r="B138" s="95" t="s">
        <v>160</v>
      </c>
      <c r="C138" s="95"/>
      <c r="D138" s="95"/>
      <c r="E138" s="104"/>
      <c r="F138" s="143"/>
      <c r="G138" s="115">
        <f>G136*'CREST Inputs'!$G$78</f>
        <v>1116799.2754916311</v>
      </c>
      <c r="H138" s="115">
        <f>H136*'CREST Inputs'!$G$78</f>
        <v>0</v>
      </c>
      <c r="I138" s="115">
        <f>I136*'CREST Inputs'!$G$78</f>
        <v>0</v>
      </c>
      <c r="J138" s="115">
        <f>J136*'CREST Inputs'!$G$78</f>
        <v>0</v>
      </c>
      <c r="K138" s="115">
        <f>K136*'CREST Inputs'!$G$78</f>
        <v>0</v>
      </c>
      <c r="L138" s="115">
        <f>L136*'CREST Inputs'!$G$78</f>
        <v>0</v>
      </c>
      <c r="M138" s="115">
        <f>M136*'CREST Inputs'!$G$78</f>
        <v>0</v>
      </c>
      <c r="N138" s="115">
        <f>N136*'CREST Inputs'!$G$78</f>
        <v>0</v>
      </c>
      <c r="O138" s="115">
        <f>O136*'CREST Inputs'!$G$78</f>
        <v>0</v>
      </c>
      <c r="P138" s="115">
        <f>P136*'CREST Inputs'!$G$78</f>
        <v>19763.46666666667</v>
      </c>
      <c r="Q138" s="115">
        <f>Q136*'CREST Inputs'!$G$78</f>
        <v>31621.546666666673</v>
      </c>
      <c r="R138" s="115">
        <f>R136*'CREST Inputs'!$G$78</f>
        <v>18972.928</v>
      </c>
      <c r="S138" s="115">
        <f>S136*'CREST Inputs'!$G$78</f>
        <v>11383.756800000001</v>
      </c>
      <c r="T138" s="115">
        <f>T136*'CREST Inputs'!$G$78</f>
        <v>11383.756800000001</v>
      </c>
      <c r="U138" s="115">
        <f>U136*'CREST Inputs'!$G$78</f>
        <v>5691.8784000000005</v>
      </c>
      <c r="V138" s="115">
        <f>V136*'CREST Inputs'!$G$78</f>
        <v>0</v>
      </c>
      <c r="W138" s="115">
        <f>W136*'CREST Inputs'!$G$78</f>
        <v>0</v>
      </c>
      <c r="X138" s="115">
        <f>X136*'CREST Inputs'!$G$78</f>
        <v>0</v>
      </c>
      <c r="Y138" s="115">
        <f>Y136*'CREST Inputs'!$G$78</f>
        <v>0</v>
      </c>
      <c r="Z138" s="115">
        <f>Z136*'CREST Inputs'!$G$78</f>
        <v>0</v>
      </c>
      <c r="AA138" s="115">
        <f>AA136*'CREST Inputs'!$G$78</f>
        <v>0</v>
      </c>
      <c r="AB138" s="115">
        <f>AB136*'CREST Inputs'!$G$78</f>
        <v>0</v>
      </c>
      <c r="AC138" s="115">
        <f>AC136*'CREST Inputs'!$G$78</f>
        <v>0</v>
      </c>
      <c r="AD138" s="115">
        <f>AD136*'CREST Inputs'!$G$78</f>
        <v>0</v>
      </c>
      <c r="AE138" s="115">
        <f>AE136*'CREST Inputs'!$G$78</f>
        <v>0</v>
      </c>
      <c r="AF138" s="115">
        <f>AF136*'CREST Inputs'!$G$78</f>
        <v>0</v>
      </c>
      <c r="AG138" s="115">
        <f>AG136*'CREST Inputs'!$G$78</f>
        <v>0</v>
      </c>
      <c r="AH138" s="115">
        <f>AH136*'CREST Inputs'!$G$78</f>
        <v>0</v>
      </c>
      <c r="AI138" s="115">
        <f>AI136*'CREST Inputs'!$G$78</f>
        <v>0</v>
      </c>
      <c r="AJ138" s="115">
        <f>AJ136*'CREST Inputs'!$G$78</f>
        <v>0</v>
      </c>
    </row>
    <row r="139" spans="2:36" s="27" customFormat="1" ht="16.5" thickBot="1">
      <c r="B139" s="116"/>
      <c r="C139" s="116"/>
      <c r="D139" s="116"/>
      <c r="E139" s="117"/>
      <c r="F139" s="117"/>
      <c r="G139" s="118"/>
      <c r="H139" s="119"/>
      <c r="I139" s="117"/>
      <c r="J139" s="117"/>
      <c r="K139" s="117"/>
      <c r="L139" s="117"/>
      <c r="M139" s="117"/>
      <c r="N139" s="117"/>
      <c r="O139" s="117"/>
      <c r="P139" s="117"/>
      <c r="Q139" s="117"/>
      <c r="R139" s="117"/>
      <c r="S139" s="117"/>
      <c r="T139" s="117"/>
      <c r="U139" s="117"/>
      <c r="V139" s="117"/>
      <c r="W139" s="117"/>
      <c r="X139" s="117"/>
      <c r="Y139" s="117"/>
      <c r="Z139" s="117"/>
      <c r="AA139" s="117"/>
      <c r="AB139" s="117"/>
      <c r="AC139" s="117"/>
      <c r="AD139" s="117"/>
      <c r="AE139" s="117"/>
      <c r="AF139" s="117"/>
      <c r="AG139" s="117"/>
      <c r="AH139" s="117"/>
      <c r="AI139" s="117"/>
      <c r="AJ139" s="117"/>
    </row>
    <row r="140" spans="2:36" ht="15">
      <c r="B140" s="139"/>
      <c r="C140" s="139"/>
      <c r="D140" s="139"/>
      <c r="E140" s="139"/>
      <c r="F140" s="139"/>
      <c r="G140" s="139"/>
      <c r="H140" s="139"/>
      <c r="I140" s="139"/>
      <c r="J140" s="139"/>
      <c r="K140" s="139"/>
      <c r="L140" s="139"/>
      <c r="M140" s="139"/>
      <c r="N140" s="139"/>
      <c r="O140" s="139"/>
      <c r="P140" s="139"/>
      <c r="Q140" s="139"/>
      <c r="R140" s="139"/>
      <c r="S140" s="139"/>
      <c r="T140" s="139"/>
      <c r="U140" s="139"/>
      <c r="V140" s="139"/>
      <c r="W140" s="139"/>
      <c r="X140" s="139"/>
      <c r="Y140" s="139"/>
      <c r="Z140" s="139"/>
      <c r="AA140" s="139"/>
      <c r="AB140" s="139"/>
      <c r="AC140" s="139"/>
      <c r="AD140" s="139"/>
      <c r="AE140" s="139"/>
      <c r="AF140" s="139"/>
      <c r="AG140" s="139"/>
      <c r="AH140" s="139"/>
      <c r="AI140" s="139"/>
      <c r="AJ140" s="139"/>
    </row>
    <row r="141" spans="2:36" ht="15.75">
      <c r="B141" s="94" t="s">
        <v>184</v>
      </c>
      <c r="C141" s="94"/>
      <c r="D141" s="94"/>
      <c r="E141" s="139"/>
      <c r="F141" s="139"/>
      <c r="G141" s="139"/>
      <c r="H141" s="139"/>
      <c r="I141" s="139"/>
      <c r="J141" s="139"/>
      <c r="K141" s="139"/>
      <c r="L141" s="139"/>
      <c r="M141" s="139"/>
      <c r="N141" s="139"/>
      <c r="O141" s="139"/>
      <c r="P141" s="139"/>
      <c r="Q141" s="139"/>
      <c r="R141" s="139"/>
      <c r="S141" s="139"/>
      <c r="T141" s="139"/>
      <c r="U141" s="139"/>
      <c r="V141" s="139"/>
      <c r="W141" s="139"/>
      <c r="X141" s="139"/>
      <c r="Y141" s="139"/>
      <c r="Z141" s="139"/>
      <c r="AA141" s="139"/>
      <c r="AB141" s="139"/>
      <c r="AC141" s="139"/>
      <c r="AD141" s="139"/>
      <c r="AE141" s="139"/>
      <c r="AF141" s="139"/>
      <c r="AG141" s="139"/>
      <c r="AH141" s="139"/>
      <c r="AI141" s="139"/>
      <c r="AJ141" s="139"/>
    </row>
    <row r="142" spans="2:36" ht="15.75">
      <c r="B142" s="95"/>
      <c r="C142" s="95"/>
      <c r="D142" s="95"/>
      <c r="E142" s="139"/>
      <c r="F142" s="139"/>
      <c r="G142" s="139"/>
      <c r="H142" s="139"/>
      <c r="I142" s="139"/>
      <c r="J142" s="139"/>
      <c r="K142" s="139"/>
      <c r="L142" s="139"/>
      <c r="M142" s="139"/>
      <c r="N142" s="139"/>
      <c r="O142" s="139"/>
      <c r="P142" s="139"/>
      <c r="Q142" s="139"/>
      <c r="R142" s="139"/>
      <c r="S142" s="139"/>
      <c r="T142" s="139"/>
      <c r="U142" s="139"/>
      <c r="V142" s="139"/>
      <c r="W142" s="139"/>
      <c r="X142" s="139"/>
      <c r="Y142" s="139"/>
      <c r="Z142" s="139"/>
      <c r="AA142" s="139"/>
      <c r="AB142" s="139"/>
      <c r="AC142" s="139"/>
      <c r="AD142" s="139"/>
      <c r="AE142" s="139"/>
      <c r="AF142" s="139"/>
      <c r="AG142" s="139"/>
      <c r="AH142" s="139"/>
      <c r="AI142" s="139"/>
      <c r="AJ142" s="139"/>
    </row>
    <row r="143" spans="2:36" ht="15.75">
      <c r="B143" s="95" t="s">
        <v>183</v>
      </c>
      <c r="C143" s="95"/>
      <c r="D143" s="95"/>
      <c r="E143" s="139"/>
      <c r="F143" s="139"/>
      <c r="G143" s="115">
        <f>G58</f>
        <v>-3562991.4402974006</v>
      </c>
      <c r="H143" s="115">
        <f aca="true" t="shared" si="42" ref="H143:AJ143">H58</f>
        <v>365435.2890148996</v>
      </c>
      <c r="I143" s="115">
        <f t="shared" si="42"/>
        <v>376711.5483553268</v>
      </c>
      <c r="J143" s="115">
        <f t="shared" si="42"/>
        <v>388790.8746229515</v>
      </c>
      <c r="K143" s="115">
        <f t="shared" si="42"/>
        <v>401722.9989107479</v>
      </c>
      <c r="L143" s="115">
        <f t="shared" si="42"/>
        <v>414105.2946224039</v>
      </c>
      <c r="M143" s="115">
        <f t="shared" si="42"/>
        <v>409985.09063906595</v>
      </c>
      <c r="N143" s="115">
        <f t="shared" si="42"/>
        <v>407292.8614653395</v>
      </c>
      <c r="O143" s="115">
        <f t="shared" si="42"/>
        <v>404573.11484094016</v>
      </c>
      <c r="P143" s="115">
        <f t="shared" si="42"/>
        <v>328640.46618397767</v>
      </c>
      <c r="Q143" s="115">
        <f t="shared" si="42"/>
        <v>280028.024101509</v>
      </c>
      <c r="R143" s="115">
        <f t="shared" si="42"/>
        <v>320827.3906751968</v>
      </c>
      <c r="S143" s="115">
        <f t="shared" si="42"/>
        <v>343848.95802101947</v>
      </c>
      <c r="T143" s="115">
        <f t="shared" si="42"/>
        <v>340217.7603828326</v>
      </c>
      <c r="U143" s="115">
        <f t="shared" si="42"/>
        <v>356525.47435288003</v>
      </c>
      <c r="V143" s="115">
        <f t="shared" si="42"/>
        <v>-11841.209279568197</v>
      </c>
      <c r="W143" s="115">
        <f t="shared" si="42"/>
        <v>-12102.138752117899</v>
      </c>
      <c r="X143" s="115">
        <f t="shared" si="42"/>
        <v>-12387.686763141217</v>
      </c>
      <c r="Y143" s="115">
        <f t="shared" si="42"/>
        <v>-12697.959247512772</v>
      </c>
      <c r="Z143" s="115">
        <f t="shared" si="42"/>
        <v>-13033.082143239677</v>
      </c>
      <c r="AA143" s="115">
        <f t="shared" si="42"/>
        <v>-13393.2012305206</v>
      </c>
      <c r="AB143" s="115">
        <f t="shared" si="42"/>
        <v>-13778.481988189029</v>
      </c>
      <c r="AC143" s="115">
        <f t="shared" si="42"/>
        <v>-14189.109467181697</v>
      </c>
      <c r="AD143" s="115">
        <f t="shared" si="42"/>
        <v>-14625.288180690739</v>
      </c>
      <c r="AE143" s="115">
        <f t="shared" si="42"/>
        <v>-15521.941271708682</v>
      </c>
      <c r="AF143" s="115">
        <f t="shared" si="42"/>
        <v>1.2369127944111825E-12</v>
      </c>
      <c r="AG143" s="115">
        <f t="shared" si="42"/>
        <v>0</v>
      </c>
      <c r="AH143" s="115">
        <f t="shared" si="42"/>
        <v>0</v>
      </c>
      <c r="AI143" s="115">
        <f t="shared" si="42"/>
        <v>0</v>
      </c>
      <c r="AJ143" s="115">
        <f t="shared" si="42"/>
        <v>0</v>
      </c>
    </row>
    <row r="144" spans="2:36" ht="15.75">
      <c r="B144" s="95"/>
      <c r="C144" s="95"/>
      <c r="D144" s="95"/>
      <c r="E144" s="139"/>
      <c r="F144" s="139"/>
      <c r="G144" s="115"/>
      <c r="H144" s="115"/>
      <c r="I144" s="115"/>
      <c r="J144" s="115"/>
      <c r="K144" s="115"/>
      <c r="L144" s="115"/>
      <c r="M144" s="115"/>
      <c r="N144" s="115"/>
      <c r="O144" s="115"/>
      <c r="P144" s="115"/>
      <c r="Q144" s="115"/>
      <c r="R144" s="115"/>
      <c r="S144" s="115"/>
      <c r="T144" s="115"/>
      <c r="U144" s="115"/>
      <c r="V144" s="115"/>
      <c r="W144" s="115"/>
      <c r="X144" s="115"/>
      <c r="Y144" s="115"/>
      <c r="Z144" s="115"/>
      <c r="AA144" s="115"/>
      <c r="AB144" s="115"/>
      <c r="AC144" s="115"/>
      <c r="AD144" s="115"/>
      <c r="AE144" s="115"/>
      <c r="AF144" s="115"/>
      <c r="AG144" s="115"/>
      <c r="AH144" s="115"/>
      <c r="AI144" s="115"/>
      <c r="AJ144" s="115"/>
    </row>
    <row r="145" spans="2:36" ht="15.75">
      <c r="B145" s="157" t="s">
        <v>233</v>
      </c>
      <c r="C145" s="157"/>
      <c r="D145" s="157"/>
      <c r="E145" s="139"/>
      <c r="F145" s="139"/>
      <c r="G145" s="115"/>
      <c r="H145" s="115"/>
      <c r="I145" s="115"/>
      <c r="J145" s="115"/>
      <c r="K145" s="115"/>
      <c r="L145" s="115"/>
      <c r="M145" s="115"/>
      <c r="N145" s="115"/>
      <c r="O145" s="115"/>
      <c r="P145" s="115"/>
      <c r="Q145" s="115"/>
      <c r="R145" s="115"/>
      <c r="S145" s="115"/>
      <c r="T145" s="115"/>
      <c r="U145" s="115"/>
      <c r="V145" s="115"/>
      <c r="W145" s="115"/>
      <c r="X145" s="115"/>
      <c r="Y145" s="115"/>
      <c r="Z145" s="115"/>
      <c r="AA145" s="115"/>
      <c r="AB145" s="115"/>
      <c r="AC145" s="115"/>
      <c r="AD145" s="115"/>
      <c r="AE145" s="115"/>
      <c r="AF145" s="115"/>
      <c r="AG145" s="115"/>
      <c r="AH145" s="115"/>
      <c r="AI145" s="115"/>
      <c r="AJ145" s="115"/>
    </row>
    <row r="146" spans="2:36" ht="15.75">
      <c r="B146" s="95" t="s">
        <v>186</v>
      </c>
      <c r="C146" s="95"/>
      <c r="D146" s="95"/>
      <c r="E146" s="139"/>
      <c r="F146" s="139"/>
      <c r="G146" s="115">
        <v>0</v>
      </c>
      <c r="H146" s="115">
        <f>G149</f>
        <v>3562991.4402974006</v>
      </c>
      <c r="I146" s="115">
        <f aca="true" t="shared" si="43" ref="I146:AJ146">H149</f>
        <v>3197556.151282501</v>
      </c>
      <c r="J146" s="115">
        <f t="shared" si="43"/>
        <v>2820844.602927174</v>
      </c>
      <c r="K146" s="115">
        <f t="shared" si="43"/>
        <v>2432053.728304222</v>
      </c>
      <c r="L146" s="115">
        <f t="shared" si="43"/>
        <v>2030330.7293934743</v>
      </c>
      <c r="M146" s="115">
        <f t="shared" si="43"/>
        <v>1616225.4347710703</v>
      </c>
      <c r="N146" s="115">
        <f t="shared" si="43"/>
        <v>1206240.3441320043</v>
      </c>
      <c r="O146" s="115">
        <f t="shared" si="43"/>
        <v>798947.4826666648</v>
      </c>
      <c r="P146" s="115">
        <f t="shared" si="43"/>
        <v>394374.3678257246</v>
      </c>
      <c r="Q146" s="115">
        <f t="shared" si="43"/>
        <v>65733.90164174692</v>
      </c>
      <c r="R146" s="115">
        <f t="shared" si="43"/>
        <v>0</v>
      </c>
      <c r="S146" s="115">
        <f t="shared" si="43"/>
        <v>0</v>
      </c>
      <c r="T146" s="115">
        <f t="shared" si="43"/>
        <v>0</v>
      </c>
      <c r="U146" s="115">
        <f t="shared" si="43"/>
        <v>0</v>
      </c>
      <c r="V146" s="115">
        <f t="shared" si="43"/>
        <v>0</v>
      </c>
      <c r="W146" s="115">
        <f t="shared" si="43"/>
        <v>11841.209279568197</v>
      </c>
      <c r="X146" s="115">
        <f t="shared" si="43"/>
        <v>23943.348031686095</v>
      </c>
      <c r="Y146" s="115">
        <f t="shared" si="43"/>
        <v>36331.03479482731</v>
      </c>
      <c r="Z146" s="115">
        <f t="shared" si="43"/>
        <v>49028.994042340084</v>
      </c>
      <c r="AA146" s="115">
        <f t="shared" si="43"/>
        <v>62062.07618557976</v>
      </c>
      <c r="AB146" s="115">
        <f t="shared" si="43"/>
        <v>75455.27741610036</v>
      </c>
      <c r="AC146" s="115">
        <f t="shared" si="43"/>
        <v>89233.75940428939</v>
      </c>
      <c r="AD146" s="115">
        <f t="shared" si="43"/>
        <v>103422.86887147109</v>
      </c>
      <c r="AE146" s="115">
        <f t="shared" si="43"/>
        <v>118048.15705216183</v>
      </c>
      <c r="AF146" s="115">
        <f t="shared" si="43"/>
        <v>133570.0983238705</v>
      </c>
      <c r="AG146" s="115">
        <f t="shared" si="43"/>
        <v>133570.0983238705</v>
      </c>
      <c r="AH146" s="115">
        <f t="shared" si="43"/>
        <v>133570.0983238705</v>
      </c>
      <c r="AI146" s="115">
        <f t="shared" si="43"/>
        <v>133570.0983238705</v>
      </c>
      <c r="AJ146" s="115">
        <f t="shared" si="43"/>
        <v>133570.0983238705</v>
      </c>
    </row>
    <row r="147" spans="2:36" ht="15.75">
      <c r="B147" s="95" t="s">
        <v>187</v>
      </c>
      <c r="C147" s="95"/>
      <c r="D147" s="95"/>
      <c r="E147" s="139"/>
      <c r="F147" s="139"/>
      <c r="G147" s="115">
        <f>IF(G$143&gt;0,0,-G$143)</f>
        <v>3562991.4402974006</v>
      </c>
      <c r="H147" s="115">
        <f aca="true" t="shared" si="44" ref="H147:AJ147">IF(H$143&gt;0,0,-H$143)</f>
        <v>0</v>
      </c>
      <c r="I147" s="115">
        <f t="shared" si="44"/>
        <v>0</v>
      </c>
      <c r="J147" s="115">
        <f t="shared" si="44"/>
        <v>0</v>
      </c>
      <c r="K147" s="115">
        <f t="shared" si="44"/>
        <v>0</v>
      </c>
      <c r="L147" s="115">
        <f t="shared" si="44"/>
        <v>0</v>
      </c>
      <c r="M147" s="115">
        <f t="shared" si="44"/>
        <v>0</v>
      </c>
      <c r="N147" s="115">
        <f t="shared" si="44"/>
        <v>0</v>
      </c>
      <c r="O147" s="115">
        <f t="shared" si="44"/>
        <v>0</v>
      </c>
      <c r="P147" s="115">
        <f t="shared" si="44"/>
        <v>0</v>
      </c>
      <c r="Q147" s="115">
        <f t="shared" si="44"/>
        <v>0</v>
      </c>
      <c r="R147" s="115">
        <f t="shared" si="44"/>
        <v>0</v>
      </c>
      <c r="S147" s="115">
        <f t="shared" si="44"/>
        <v>0</v>
      </c>
      <c r="T147" s="115">
        <f t="shared" si="44"/>
        <v>0</v>
      </c>
      <c r="U147" s="115">
        <f t="shared" si="44"/>
        <v>0</v>
      </c>
      <c r="V147" s="115">
        <f t="shared" si="44"/>
        <v>11841.209279568197</v>
      </c>
      <c r="W147" s="115">
        <f t="shared" si="44"/>
        <v>12102.138752117899</v>
      </c>
      <c r="X147" s="115">
        <f t="shared" si="44"/>
        <v>12387.686763141217</v>
      </c>
      <c r="Y147" s="115">
        <f t="shared" si="44"/>
        <v>12697.959247512772</v>
      </c>
      <c r="Z147" s="115">
        <f t="shared" si="44"/>
        <v>13033.082143239677</v>
      </c>
      <c r="AA147" s="115">
        <f t="shared" si="44"/>
        <v>13393.2012305206</v>
      </c>
      <c r="AB147" s="115">
        <f t="shared" si="44"/>
        <v>13778.481988189029</v>
      </c>
      <c r="AC147" s="115">
        <f t="shared" si="44"/>
        <v>14189.109467181697</v>
      </c>
      <c r="AD147" s="115">
        <f t="shared" si="44"/>
        <v>14625.288180690739</v>
      </c>
      <c r="AE147" s="115">
        <f t="shared" si="44"/>
        <v>15521.941271708682</v>
      </c>
      <c r="AF147" s="115">
        <f t="shared" si="44"/>
        <v>0</v>
      </c>
      <c r="AG147" s="115">
        <f t="shared" si="44"/>
        <v>0</v>
      </c>
      <c r="AH147" s="115">
        <f t="shared" si="44"/>
        <v>0</v>
      </c>
      <c r="AI147" s="115">
        <f t="shared" si="44"/>
        <v>0</v>
      </c>
      <c r="AJ147" s="115">
        <f t="shared" si="44"/>
        <v>0</v>
      </c>
    </row>
    <row r="148" spans="2:36" ht="15.75">
      <c r="B148" s="95" t="s">
        <v>185</v>
      </c>
      <c r="C148" s="95"/>
      <c r="D148" s="95"/>
      <c r="E148" s="139"/>
      <c r="F148" s="139"/>
      <c r="G148" s="115">
        <f aca="true" t="shared" si="45" ref="G148:L148">IF(G$143&lt;=0,0,-MIN(G$143,F$149))</f>
        <v>0</v>
      </c>
      <c r="H148" s="115">
        <f t="shared" si="45"/>
        <v>-365435.2890148996</v>
      </c>
      <c r="I148" s="115">
        <f t="shared" si="45"/>
        <v>-376711.5483553268</v>
      </c>
      <c r="J148" s="115">
        <f t="shared" si="45"/>
        <v>-388790.8746229515</v>
      </c>
      <c r="K148" s="115">
        <f t="shared" si="45"/>
        <v>-401722.9989107479</v>
      </c>
      <c r="L148" s="115">
        <f t="shared" si="45"/>
        <v>-414105.2946224039</v>
      </c>
      <c r="M148" s="115">
        <f>IF(M$143&lt;=0,0,-MIN(M$143,L$149))</f>
        <v>-409985.09063906595</v>
      </c>
      <c r="N148" s="115">
        <f aca="true" t="shared" si="46" ref="N148:AJ148">IF(N$143&lt;=0,0,-MIN(N$143,M$149))</f>
        <v>-407292.8614653395</v>
      </c>
      <c r="O148" s="115">
        <f t="shared" si="46"/>
        <v>-404573.11484094016</v>
      </c>
      <c r="P148" s="115">
        <f t="shared" si="46"/>
        <v>-328640.46618397767</v>
      </c>
      <c r="Q148" s="115">
        <f t="shared" si="46"/>
        <v>-65733.90164174692</v>
      </c>
      <c r="R148" s="115">
        <f t="shared" si="46"/>
        <v>0</v>
      </c>
      <c r="S148" s="115">
        <f t="shared" si="46"/>
        <v>0</v>
      </c>
      <c r="T148" s="115">
        <f t="shared" si="46"/>
        <v>0</v>
      </c>
      <c r="U148" s="115">
        <f t="shared" si="46"/>
        <v>0</v>
      </c>
      <c r="V148" s="115">
        <f t="shared" si="46"/>
        <v>0</v>
      </c>
      <c r="W148" s="115">
        <f t="shared" si="46"/>
        <v>0</v>
      </c>
      <c r="X148" s="115">
        <f t="shared" si="46"/>
        <v>0</v>
      </c>
      <c r="Y148" s="115">
        <f t="shared" si="46"/>
        <v>0</v>
      </c>
      <c r="Z148" s="115">
        <f t="shared" si="46"/>
        <v>0</v>
      </c>
      <c r="AA148" s="115">
        <f t="shared" si="46"/>
        <v>0</v>
      </c>
      <c r="AB148" s="115">
        <f t="shared" si="46"/>
        <v>0</v>
      </c>
      <c r="AC148" s="115">
        <f t="shared" si="46"/>
        <v>0</v>
      </c>
      <c r="AD148" s="115">
        <f t="shared" si="46"/>
        <v>0</v>
      </c>
      <c r="AE148" s="115">
        <f t="shared" si="46"/>
        <v>0</v>
      </c>
      <c r="AF148" s="115">
        <f t="shared" si="46"/>
        <v>-1.2369127944111825E-12</v>
      </c>
      <c r="AG148" s="115">
        <f t="shared" si="46"/>
        <v>0</v>
      </c>
      <c r="AH148" s="115">
        <f t="shared" si="46"/>
        <v>0</v>
      </c>
      <c r="AI148" s="115">
        <f t="shared" si="46"/>
        <v>0</v>
      </c>
      <c r="AJ148" s="115">
        <f t="shared" si="46"/>
        <v>0</v>
      </c>
    </row>
    <row r="149" spans="2:36" ht="15.75">
      <c r="B149" s="95" t="s">
        <v>188</v>
      </c>
      <c r="C149" s="95"/>
      <c r="D149" s="95"/>
      <c r="E149" s="139"/>
      <c r="F149" s="139"/>
      <c r="G149" s="115">
        <f>SUM(G146:G148)</f>
        <v>3562991.4402974006</v>
      </c>
      <c r="H149" s="115">
        <f aca="true" t="shared" si="47" ref="H149:AJ149">SUM(H146:H148)</f>
        <v>3197556.151282501</v>
      </c>
      <c r="I149" s="115">
        <f t="shared" si="47"/>
        <v>2820844.602927174</v>
      </c>
      <c r="J149" s="115">
        <f t="shared" si="47"/>
        <v>2432053.728304222</v>
      </c>
      <c r="K149" s="115">
        <f t="shared" si="47"/>
        <v>2030330.7293934743</v>
      </c>
      <c r="L149" s="115">
        <f t="shared" si="47"/>
        <v>1616225.4347710703</v>
      </c>
      <c r="M149" s="115">
        <f t="shared" si="47"/>
        <v>1206240.3441320043</v>
      </c>
      <c r="N149" s="115">
        <f t="shared" si="47"/>
        <v>798947.4826666648</v>
      </c>
      <c r="O149" s="115">
        <f t="shared" si="47"/>
        <v>394374.3678257246</v>
      </c>
      <c r="P149" s="115">
        <f t="shared" si="47"/>
        <v>65733.90164174692</v>
      </c>
      <c r="Q149" s="115">
        <f t="shared" si="47"/>
        <v>0</v>
      </c>
      <c r="R149" s="115">
        <f t="shared" si="47"/>
        <v>0</v>
      </c>
      <c r="S149" s="115">
        <f t="shared" si="47"/>
        <v>0</v>
      </c>
      <c r="T149" s="115">
        <f t="shared" si="47"/>
        <v>0</v>
      </c>
      <c r="U149" s="115">
        <f t="shared" si="47"/>
        <v>0</v>
      </c>
      <c r="V149" s="115">
        <f t="shared" si="47"/>
        <v>11841.209279568197</v>
      </c>
      <c r="W149" s="115">
        <f t="shared" si="47"/>
        <v>23943.348031686095</v>
      </c>
      <c r="X149" s="115">
        <f t="shared" si="47"/>
        <v>36331.03479482731</v>
      </c>
      <c r="Y149" s="115">
        <f t="shared" si="47"/>
        <v>49028.994042340084</v>
      </c>
      <c r="Z149" s="115">
        <f t="shared" si="47"/>
        <v>62062.07618557976</v>
      </c>
      <c r="AA149" s="115">
        <f t="shared" si="47"/>
        <v>75455.27741610036</v>
      </c>
      <c r="AB149" s="115">
        <f t="shared" si="47"/>
        <v>89233.75940428939</v>
      </c>
      <c r="AC149" s="115">
        <f t="shared" si="47"/>
        <v>103422.86887147109</v>
      </c>
      <c r="AD149" s="115">
        <f t="shared" si="47"/>
        <v>118048.15705216183</v>
      </c>
      <c r="AE149" s="115">
        <f t="shared" si="47"/>
        <v>133570.0983238705</v>
      </c>
      <c r="AF149" s="115">
        <f t="shared" si="47"/>
        <v>133570.0983238705</v>
      </c>
      <c r="AG149" s="115">
        <f t="shared" si="47"/>
        <v>133570.0983238705</v>
      </c>
      <c r="AH149" s="115">
        <f t="shared" si="47"/>
        <v>133570.0983238705</v>
      </c>
      <c r="AI149" s="115">
        <f t="shared" si="47"/>
        <v>133570.0983238705</v>
      </c>
      <c r="AJ149" s="115">
        <f t="shared" si="47"/>
        <v>133570.0983238705</v>
      </c>
    </row>
    <row r="150" spans="2:36" ht="15.75">
      <c r="B150" s="95"/>
      <c r="C150" s="95"/>
      <c r="D150" s="95"/>
      <c r="E150" s="139"/>
      <c r="F150" s="139"/>
      <c r="G150" s="139"/>
      <c r="H150" s="139"/>
      <c r="I150" s="139"/>
      <c r="J150" s="139"/>
      <c r="K150" s="139"/>
      <c r="L150" s="139"/>
      <c r="M150" s="139"/>
      <c r="N150" s="139"/>
      <c r="O150" s="139"/>
      <c r="P150" s="139"/>
      <c r="Q150" s="139"/>
      <c r="R150" s="139"/>
      <c r="S150" s="139"/>
      <c r="T150" s="139"/>
      <c r="U150" s="139"/>
      <c r="V150" s="139"/>
      <c r="W150" s="139"/>
      <c r="X150" s="139"/>
      <c r="Y150" s="139"/>
      <c r="Z150" s="139"/>
      <c r="AA150" s="139"/>
      <c r="AB150" s="139"/>
      <c r="AC150" s="139"/>
      <c r="AD150" s="139"/>
      <c r="AE150" s="139"/>
      <c r="AF150" s="139"/>
      <c r="AG150" s="139"/>
      <c r="AH150" s="139"/>
      <c r="AI150" s="139"/>
      <c r="AJ150" s="139"/>
    </row>
    <row r="151" spans="2:36" ht="15.75">
      <c r="B151" s="95" t="s">
        <v>189</v>
      </c>
      <c r="C151" s="95"/>
      <c r="D151" s="95"/>
      <c r="E151" s="139"/>
      <c r="F151" s="139"/>
      <c r="G151" s="115">
        <f>G143+G147+G148</f>
        <v>0</v>
      </c>
      <c r="H151" s="115">
        <f aca="true" t="shared" si="48" ref="H151:AJ151">H143+H147+H148</f>
        <v>0</v>
      </c>
      <c r="I151" s="115">
        <f t="shared" si="48"/>
        <v>0</v>
      </c>
      <c r="J151" s="115">
        <f t="shared" si="48"/>
        <v>0</v>
      </c>
      <c r="K151" s="115">
        <f t="shared" si="48"/>
        <v>0</v>
      </c>
      <c r="L151" s="115">
        <f t="shared" si="48"/>
        <v>0</v>
      </c>
      <c r="M151" s="115">
        <f t="shared" si="48"/>
        <v>0</v>
      </c>
      <c r="N151" s="115">
        <f t="shared" si="48"/>
        <v>0</v>
      </c>
      <c r="O151" s="115">
        <f t="shared" si="48"/>
        <v>0</v>
      </c>
      <c r="P151" s="115">
        <f t="shared" si="48"/>
        <v>0</v>
      </c>
      <c r="Q151" s="115">
        <f t="shared" si="48"/>
        <v>214294.1224597621</v>
      </c>
      <c r="R151" s="115">
        <f t="shared" si="48"/>
        <v>320827.3906751968</v>
      </c>
      <c r="S151" s="115">
        <f t="shared" si="48"/>
        <v>343848.95802101947</v>
      </c>
      <c r="T151" s="115">
        <f t="shared" si="48"/>
        <v>340217.7603828326</v>
      </c>
      <c r="U151" s="115">
        <f t="shared" si="48"/>
        <v>356525.47435288003</v>
      </c>
      <c r="V151" s="115">
        <f t="shared" si="48"/>
        <v>0</v>
      </c>
      <c r="W151" s="115">
        <f t="shared" si="48"/>
        <v>0</v>
      </c>
      <c r="X151" s="115">
        <f t="shared" si="48"/>
        <v>0</v>
      </c>
      <c r="Y151" s="115">
        <f t="shared" si="48"/>
        <v>0</v>
      </c>
      <c r="Z151" s="115">
        <f t="shared" si="48"/>
        <v>0</v>
      </c>
      <c r="AA151" s="115">
        <f t="shared" si="48"/>
        <v>0</v>
      </c>
      <c r="AB151" s="115">
        <f t="shared" si="48"/>
        <v>0</v>
      </c>
      <c r="AC151" s="115">
        <f t="shared" si="48"/>
        <v>0</v>
      </c>
      <c r="AD151" s="115">
        <f t="shared" si="48"/>
        <v>0</v>
      </c>
      <c r="AE151" s="115">
        <f t="shared" si="48"/>
        <v>0</v>
      </c>
      <c r="AF151" s="115">
        <f t="shared" si="48"/>
        <v>0</v>
      </c>
      <c r="AG151" s="115">
        <f t="shared" si="48"/>
        <v>0</v>
      </c>
      <c r="AH151" s="115">
        <f t="shared" si="48"/>
        <v>0</v>
      </c>
      <c r="AI151" s="115">
        <f t="shared" si="48"/>
        <v>0</v>
      </c>
      <c r="AJ151" s="115">
        <f t="shared" si="48"/>
        <v>0</v>
      </c>
    </row>
    <row r="152" spans="2:36" ht="15.75">
      <c r="B152" s="95"/>
      <c r="C152" s="95"/>
      <c r="D152" s="95"/>
      <c r="E152" s="139"/>
      <c r="F152" s="139"/>
      <c r="G152" s="115"/>
      <c r="H152" s="115"/>
      <c r="I152" s="115"/>
      <c r="J152" s="115"/>
      <c r="K152" s="115"/>
      <c r="L152" s="115"/>
      <c r="M152" s="115"/>
      <c r="N152" s="115"/>
      <c r="O152" s="115"/>
      <c r="P152" s="115"/>
      <c r="Q152" s="115"/>
      <c r="R152" s="115"/>
      <c r="S152" s="115"/>
      <c r="T152" s="115"/>
      <c r="U152" s="115"/>
      <c r="V152" s="115"/>
      <c r="W152" s="115"/>
      <c r="X152" s="115"/>
      <c r="Y152" s="115"/>
      <c r="Z152" s="115"/>
      <c r="AA152" s="115"/>
      <c r="AB152" s="115"/>
      <c r="AC152" s="115"/>
      <c r="AD152" s="115"/>
      <c r="AE152" s="115"/>
      <c r="AF152" s="115"/>
      <c r="AG152" s="115"/>
      <c r="AH152" s="115"/>
      <c r="AI152" s="115"/>
      <c r="AJ152" s="115"/>
    </row>
    <row r="153" spans="2:36" ht="15.75">
      <c r="B153" s="157" t="s">
        <v>234</v>
      </c>
      <c r="C153" s="157"/>
      <c r="D153" s="157"/>
      <c r="E153" s="139"/>
      <c r="F153" s="139"/>
      <c r="G153" s="115"/>
      <c r="H153" s="115"/>
      <c r="I153" s="115"/>
      <c r="J153" s="115"/>
      <c r="K153" s="115"/>
      <c r="L153" s="115"/>
      <c r="M153" s="115"/>
      <c r="N153" s="115"/>
      <c r="O153" s="115"/>
      <c r="P153" s="115"/>
      <c r="Q153" s="115"/>
      <c r="R153" s="115"/>
      <c r="S153" s="115"/>
      <c r="T153" s="115"/>
      <c r="U153" s="115"/>
      <c r="V153" s="115"/>
      <c r="W153" s="115"/>
      <c r="X153" s="115"/>
      <c r="Y153" s="115"/>
      <c r="Z153" s="115"/>
      <c r="AA153" s="115"/>
      <c r="AB153" s="115"/>
      <c r="AC153" s="115"/>
      <c r="AD153" s="115"/>
      <c r="AE153" s="115"/>
      <c r="AF153" s="115"/>
      <c r="AG153" s="115"/>
      <c r="AH153" s="115"/>
      <c r="AI153" s="115"/>
      <c r="AJ153" s="115"/>
    </row>
    <row r="154" spans="2:36" ht="15.75">
      <c r="B154" s="95" t="s">
        <v>186</v>
      </c>
      <c r="C154" s="95"/>
      <c r="D154" s="95"/>
      <c r="E154" s="139"/>
      <c r="F154" s="139"/>
      <c r="G154" s="115">
        <v>0</v>
      </c>
      <c r="H154" s="115">
        <f>G157</f>
        <v>3562991.4402974006</v>
      </c>
      <c r="I154" s="115">
        <f aca="true" t="shared" si="49" ref="I154:AJ154">H157</f>
        <v>3197556.151282501</v>
      </c>
      <c r="J154" s="115">
        <f t="shared" si="49"/>
        <v>2820844.602927174</v>
      </c>
      <c r="K154" s="115">
        <f t="shared" si="49"/>
        <v>2432053.728304222</v>
      </c>
      <c r="L154" s="115">
        <f t="shared" si="49"/>
        <v>2030330.7293934743</v>
      </c>
      <c r="M154" s="115">
        <f t="shared" si="49"/>
        <v>1616225.4347710703</v>
      </c>
      <c r="N154" s="115">
        <f t="shared" si="49"/>
        <v>1206240.3441320043</v>
      </c>
      <c r="O154" s="115">
        <f t="shared" si="49"/>
        <v>798947.4826666648</v>
      </c>
      <c r="P154" s="115">
        <f t="shared" si="49"/>
        <v>394374.3678257246</v>
      </c>
      <c r="Q154" s="115">
        <f t="shared" si="49"/>
        <v>65733.90164174692</v>
      </c>
      <c r="R154" s="115">
        <f t="shared" si="49"/>
        <v>0</v>
      </c>
      <c r="S154" s="115">
        <f t="shared" si="49"/>
        <v>0</v>
      </c>
      <c r="T154" s="115">
        <f t="shared" si="49"/>
        <v>0</v>
      </c>
      <c r="U154" s="115">
        <f t="shared" si="49"/>
        <v>0</v>
      </c>
      <c r="V154" s="115">
        <f t="shared" si="49"/>
        <v>0</v>
      </c>
      <c r="W154" s="115">
        <f t="shared" si="49"/>
        <v>11841.209279568197</v>
      </c>
      <c r="X154" s="115">
        <f t="shared" si="49"/>
        <v>23943.348031686095</v>
      </c>
      <c r="Y154" s="115">
        <f t="shared" si="49"/>
        <v>36331.03479482731</v>
      </c>
      <c r="Z154" s="115">
        <f t="shared" si="49"/>
        <v>49028.994042340084</v>
      </c>
      <c r="AA154" s="115">
        <f t="shared" si="49"/>
        <v>62062.07618557976</v>
      </c>
      <c r="AB154" s="115">
        <f t="shared" si="49"/>
        <v>75455.27741610036</v>
      </c>
      <c r="AC154" s="115">
        <f t="shared" si="49"/>
        <v>89233.75940428939</v>
      </c>
      <c r="AD154" s="115">
        <f t="shared" si="49"/>
        <v>103422.86887147109</v>
      </c>
      <c r="AE154" s="115">
        <f t="shared" si="49"/>
        <v>118048.15705216183</v>
      </c>
      <c r="AF154" s="115">
        <f t="shared" si="49"/>
        <v>133570.0983238705</v>
      </c>
      <c r="AG154" s="115">
        <f t="shared" si="49"/>
        <v>133570.0983238705</v>
      </c>
      <c r="AH154" s="115">
        <f t="shared" si="49"/>
        <v>133570.0983238705</v>
      </c>
      <c r="AI154" s="115">
        <f t="shared" si="49"/>
        <v>133570.0983238705</v>
      </c>
      <c r="AJ154" s="115">
        <f t="shared" si="49"/>
        <v>133570.0983238705</v>
      </c>
    </row>
    <row r="155" spans="2:36" ht="15.75">
      <c r="B155" s="95" t="s">
        <v>187</v>
      </c>
      <c r="C155" s="95"/>
      <c r="D155" s="95"/>
      <c r="E155" s="139"/>
      <c r="F155" s="139"/>
      <c r="G155" s="115">
        <f>IF(G$143&gt;0,0,-G$143)</f>
        <v>3562991.4402974006</v>
      </c>
      <c r="H155" s="115">
        <f aca="true" t="shared" si="50" ref="H155:AJ155">IF(H$143&gt;0,0,-H$143)</f>
        <v>0</v>
      </c>
      <c r="I155" s="115">
        <f t="shared" si="50"/>
        <v>0</v>
      </c>
      <c r="J155" s="115">
        <f t="shared" si="50"/>
        <v>0</v>
      </c>
      <c r="K155" s="115">
        <f t="shared" si="50"/>
        <v>0</v>
      </c>
      <c r="L155" s="115">
        <f t="shared" si="50"/>
        <v>0</v>
      </c>
      <c r="M155" s="115">
        <f t="shared" si="50"/>
        <v>0</v>
      </c>
      <c r="N155" s="115">
        <f t="shared" si="50"/>
        <v>0</v>
      </c>
      <c r="O155" s="115">
        <f t="shared" si="50"/>
        <v>0</v>
      </c>
      <c r="P155" s="115">
        <f t="shared" si="50"/>
        <v>0</v>
      </c>
      <c r="Q155" s="115">
        <f t="shared" si="50"/>
        <v>0</v>
      </c>
      <c r="R155" s="115">
        <f t="shared" si="50"/>
        <v>0</v>
      </c>
      <c r="S155" s="115">
        <f t="shared" si="50"/>
        <v>0</v>
      </c>
      <c r="T155" s="115">
        <f t="shared" si="50"/>
        <v>0</v>
      </c>
      <c r="U155" s="115">
        <f t="shared" si="50"/>
        <v>0</v>
      </c>
      <c r="V155" s="115">
        <f t="shared" si="50"/>
        <v>11841.209279568197</v>
      </c>
      <c r="W155" s="115">
        <f t="shared" si="50"/>
        <v>12102.138752117899</v>
      </c>
      <c r="X155" s="115">
        <f t="shared" si="50"/>
        <v>12387.686763141217</v>
      </c>
      <c r="Y155" s="115">
        <f t="shared" si="50"/>
        <v>12697.959247512772</v>
      </c>
      <c r="Z155" s="115">
        <f t="shared" si="50"/>
        <v>13033.082143239677</v>
      </c>
      <c r="AA155" s="115">
        <f t="shared" si="50"/>
        <v>13393.2012305206</v>
      </c>
      <c r="AB155" s="115">
        <f t="shared" si="50"/>
        <v>13778.481988189029</v>
      </c>
      <c r="AC155" s="115">
        <f t="shared" si="50"/>
        <v>14189.109467181697</v>
      </c>
      <c r="AD155" s="115">
        <f t="shared" si="50"/>
        <v>14625.288180690739</v>
      </c>
      <c r="AE155" s="115">
        <f t="shared" si="50"/>
        <v>15521.941271708682</v>
      </c>
      <c r="AF155" s="115">
        <f t="shared" si="50"/>
        <v>0</v>
      </c>
      <c r="AG155" s="115">
        <f t="shared" si="50"/>
        <v>0</v>
      </c>
      <c r="AH155" s="115">
        <f t="shared" si="50"/>
        <v>0</v>
      </c>
      <c r="AI155" s="115">
        <f t="shared" si="50"/>
        <v>0</v>
      </c>
      <c r="AJ155" s="115">
        <f t="shared" si="50"/>
        <v>0</v>
      </c>
    </row>
    <row r="156" spans="2:36" ht="15.75">
      <c r="B156" s="95" t="s">
        <v>185</v>
      </c>
      <c r="C156" s="95"/>
      <c r="D156" s="95"/>
      <c r="E156" s="139"/>
      <c r="F156" s="139"/>
      <c r="G156" s="115">
        <f aca="true" t="shared" si="51" ref="G156:AJ156">IF(G$143&lt;=0,0,-MIN(G$143,F$149))</f>
        <v>0</v>
      </c>
      <c r="H156" s="115">
        <f t="shared" si="51"/>
        <v>-365435.2890148996</v>
      </c>
      <c r="I156" s="115">
        <f t="shared" si="51"/>
        <v>-376711.5483553268</v>
      </c>
      <c r="J156" s="115">
        <f t="shared" si="51"/>
        <v>-388790.8746229515</v>
      </c>
      <c r="K156" s="115">
        <f t="shared" si="51"/>
        <v>-401722.9989107479</v>
      </c>
      <c r="L156" s="115">
        <f t="shared" si="51"/>
        <v>-414105.2946224039</v>
      </c>
      <c r="M156" s="115">
        <f t="shared" si="51"/>
        <v>-409985.09063906595</v>
      </c>
      <c r="N156" s="115">
        <f t="shared" si="51"/>
        <v>-407292.8614653395</v>
      </c>
      <c r="O156" s="115">
        <f t="shared" si="51"/>
        <v>-404573.11484094016</v>
      </c>
      <c r="P156" s="115">
        <f t="shared" si="51"/>
        <v>-328640.46618397767</v>
      </c>
      <c r="Q156" s="115">
        <f t="shared" si="51"/>
        <v>-65733.90164174692</v>
      </c>
      <c r="R156" s="115">
        <f t="shared" si="51"/>
        <v>0</v>
      </c>
      <c r="S156" s="115">
        <f t="shared" si="51"/>
        <v>0</v>
      </c>
      <c r="T156" s="115">
        <f t="shared" si="51"/>
        <v>0</v>
      </c>
      <c r="U156" s="115">
        <f t="shared" si="51"/>
        <v>0</v>
      </c>
      <c r="V156" s="115">
        <f t="shared" si="51"/>
        <v>0</v>
      </c>
      <c r="W156" s="115">
        <f t="shared" si="51"/>
        <v>0</v>
      </c>
      <c r="X156" s="115">
        <f t="shared" si="51"/>
        <v>0</v>
      </c>
      <c r="Y156" s="115">
        <f t="shared" si="51"/>
        <v>0</v>
      </c>
      <c r="Z156" s="115">
        <f t="shared" si="51"/>
        <v>0</v>
      </c>
      <c r="AA156" s="115">
        <f t="shared" si="51"/>
        <v>0</v>
      </c>
      <c r="AB156" s="115">
        <f t="shared" si="51"/>
        <v>0</v>
      </c>
      <c r="AC156" s="115">
        <f t="shared" si="51"/>
        <v>0</v>
      </c>
      <c r="AD156" s="115">
        <f t="shared" si="51"/>
        <v>0</v>
      </c>
      <c r="AE156" s="115">
        <f t="shared" si="51"/>
        <v>0</v>
      </c>
      <c r="AF156" s="115">
        <f t="shared" si="51"/>
        <v>-1.2369127944111825E-12</v>
      </c>
      <c r="AG156" s="115">
        <f t="shared" si="51"/>
        <v>0</v>
      </c>
      <c r="AH156" s="115">
        <f t="shared" si="51"/>
        <v>0</v>
      </c>
      <c r="AI156" s="115">
        <f t="shared" si="51"/>
        <v>0</v>
      </c>
      <c r="AJ156" s="115">
        <f t="shared" si="51"/>
        <v>0</v>
      </c>
    </row>
    <row r="157" spans="2:36" ht="15.75">
      <c r="B157" s="95" t="s">
        <v>188</v>
      </c>
      <c r="C157" s="95"/>
      <c r="D157" s="95"/>
      <c r="E157" s="139"/>
      <c r="F157" s="139"/>
      <c r="G157" s="115">
        <f>SUM(G154:G156)</f>
        <v>3562991.4402974006</v>
      </c>
      <c r="H157" s="115">
        <f aca="true" t="shared" si="52" ref="H157:AJ157">SUM(H154:H156)</f>
        <v>3197556.151282501</v>
      </c>
      <c r="I157" s="115">
        <f t="shared" si="52"/>
        <v>2820844.602927174</v>
      </c>
      <c r="J157" s="115">
        <f t="shared" si="52"/>
        <v>2432053.728304222</v>
      </c>
      <c r="K157" s="115">
        <f t="shared" si="52"/>
        <v>2030330.7293934743</v>
      </c>
      <c r="L157" s="115">
        <f t="shared" si="52"/>
        <v>1616225.4347710703</v>
      </c>
      <c r="M157" s="115">
        <f t="shared" si="52"/>
        <v>1206240.3441320043</v>
      </c>
      <c r="N157" s="115">
        <f t="shared" si="52"/>
        <v>798947.4826666648</v>
      </c>
      <c r="O157" s="115">
        <f t="shared" si="52"/>
        <v>394374.3678257246</v>
      </c>
      <c r="P157" s="115">
        <f t="shared" si="52"/>
        <v>65733.90164174692</v>
      </c>
      <c r="Q157" s="115">
        <f t="shared" si="52"/>
        <v>0</v>
      </c>
      <c r="R157" s="115">
        <f t="shared" si="52"/>
        <v>0</v>
      </c>
      <c r="S157" s="115">
        <f t="shared" si="52"/>
        <v>0</v>
      </c>
      <c r="T157" s="115">
        <f t="shared" si="52"/>
        <v>0</v>
      </c>
      <c r="U157" s="115">
        <f t="shared" si="52"/>
        <v>0</v>
      </c>
      <c r="V157" s="115">
        <f t="shared" si="52"/>
        <v>11841.209279568197</v>
      </c>
      <c r="W157" s="115">
        <f t="shared" si="52"/>
        <v>23943.348031686095</v>
      </c>
      <c r="X157" s="115">
        <f t="shared" si="52"/>
        <v>36331.03479482731</v>
      </c>
      <c r="Y157" s="115">
        <f t="shared" si="52"/>
        <v>49028.994042340084</v>
      </c>
      <c r="Z157" s="115">
        <f t="shared" si="52"/>
        <v>62062.07618557976</v>
      </c>
      <c r="AA157" s="115">
        <f t="shared" si="52"/>
        <v>75455.27741610036</v>
      </c>
      <c r="AB157" s="115">
        <f t="shared" si="52"/>
        <v>89233.75940428939</v>
      </c>
      <c r="AC157" s="115">
        <f t="shared" si="52"/>
        <v>103422.86887147109</v>
      </c>
      <c r="AD157" s="115">
        <f t="shared" si="52"/>
        <v>118048.15705216183</v>
      </c>
      <c r="AE157" s="115">
        <f t="shared" si="52"/>
        <v>133570.0983238705</v>
      </c>
      <c r="AF157" s="115">
        <f t="shared" si="52"/>
        <v>133570.0983238705</v>
      </c>
      <c r="AG157" s="115">
        <f t="shared" si="52"/>
        <v>133570.0983238705</v>
      </c>
      <c r="AH157" s="115">
        <f t="shared" si="52"/>
        <v>133570.0983238705</v>
      </c>
      <c r="AI157" s="115">
        <f t="shared" si="52"/>
        <v>133570.0983238705</v>
      </c>
      <c r="AJ157" s="115">
        <f t="shared" si="52"/>
        <v>133570.0983238705</v>
      </c>
    </row>
    <row r="158" spans="2:36" ht="15.75">
      <c r="B158" s="95"/>
      <c r="C158" s="95"/>
      <c r="D158" s="95"/>
      <c r="E158" s="139"/>
      <c r="F158" s="139"/>
      <c r="G158" s="139"/>
      <c r="H158" s="139"/>
      <c r="I158" s="139"/>
      <c r="J158" s="139"/>
      <c r="K158" s="139"/>
      <c r="L158" s="139"/>
      <c r="M158" s="139"/>
      <c r="N158" s="139"/>
      <c r="O158" s="139"/>
      <c r="P158" s="139"/>
      <c r="Q158" s="139"/>
      <c r="R158" s="139"/>
      <c r="S158" s="139"/>
      <c r="T158" s="139"/>
      <c r="U158" s="139"/>
      <c r="V158" s="139"/>
      <c r="W158" s="139"/>
      <c r="X158" s="139"/>
      <c r="Y158" s="139"/>
      <c r="Z158" s="139"/>
      <c r="AA158" s="139"/>
      <c r="AB158" s="139"/>
      <c r="AC158" s="139"/>
      <c r="AD158" s="139"/>
      <c r="AE158" s="139"/>
      <c r="AF158" s="139"/>
      <c r="AG158" s="139"/>
      <c r="AH158" s="139"/>
      <c r="AI158" s="139"/>
      <c r="AJ158" s="139"/>
    </row>
    <row r="159" spans="2:36" ht="15.75">
      <c r="B159" s="95" t="s">
        <v>189</v>
      </c>
      <c r="C159" s="95"/>
      <c r="D159" s="95"/>
      <c r="E159" s="139"/>
      <c r="F159" s="139"/>
      <c r="G159" s="115">
        <f>G143+G155+G156</f>
        <v>0</v>
      </c>
      <c r="H159" s="115">
        <f aca="true" t="shared" si="53" ref="H159:AJ159">H143+H155+H156</f>
        <v>0</v>
      </c>
      <c r="I159" s="115">
        <f t="shared" si="53"/>
        <v>0</v>
      </c>
      <c r="J159" s="115">
        <f t="shared" si="53"/>
        <v>0</v>
      </c>
      <c r="K159" s="115">
        <f t="shared" si="53"/>
        <v>0</v>
      </c>
      <c r="L159" s="115">
        <f t="shared" si="53"/>
        <v>0</v>
      </c>
      <c r="M159" s="115">
        <f t="shared" si="53"/>
        <v>0</v>
      </c>
      <c r="N159" s="115">
        <f t="shared" si="53"/>
        <v>0</v>
      </c>
      <c r="O159" s="115">
        <f t="shared" si="53"/>
        <v>0</v>
      </c>
      <c r="P159" s="115">
        <f t="shared" si="53"/>
        <v>0</v>
      </c>
      <c r="Q159" s="115">
        <f t="shared" si="53"/>
        <v>214294.1224597621</v>
      </c>
      <c r="R159" s="115">
        <f t="shared" si="53"/>
        <v>320827.3906751968</v>
      </c>
      <c r="S159" s="115">
        <f t="shared" si="53"/>
        <v>343848.95802101947</v>
      </c>
      <c r="T159" s="115">
        <f t="shared" si="53"/>
        <v>340217.7603828326</v>
      </c>
      <c r="U159" s="115">
        <f t="shared" si="53"/>
        <v>356525.47435288003</v>
      </c>
      <c r="V159" s="115">
        <f t="shared" si="53"/>
        <v>0</v>
      </c>
      <c r="W159" s="115">
        <f t="shared" si="53"/>
        <v>0</v>
      </c>
      <c r="X159" s="115">
        <f t="shared" si="53"/>
        <v>0</v>
      </c>
      <c r="Y159" s="115">
        <f t="shared" si="53"/>
        <v>0</v>
      </c>
      <c r="Z159" s="115">
        <f t="shared" si="53"/>
        <v>0</v>
      </c>
      <c r="AA159" s="115">
        <f t="shared" si="53"/>
        <v>0</v>
      </c>
      <c r="AB159" s="115">
        <f t="shared" si="53"/>
        <v>0</v>
      </c>
      <c r="AC159" s="115">
        <f t="shared" si="53"/>
        <v>0</v>
      </c>
      <c r="AD159" s="115">
        <f t="shared" si="53"/>
        <v>0</v>
      </c>
      <c r="AE159" s="115">
        <f t="shared" si="53"/>
        <v>0</v>
      </c>
      <c r="AF159" s="115">
        <f t="shared" si="53"/>
        <v>0</v>
      </c>
      <c r="AG159" s="115">
        <f t="shared" si="53"/>
        <v>0</v>
      </c>
      <c r="AH159" s="115">
        <f t="shared" si="53"/>
        <v>0</v>
      </c>
      <c r="AI159" s="115">
        <f t="shared" si="53"/>
        <v>0</v>
      </c>
      <c r="AJ159" s="115">
        <f t="shared" si="53"/>
        <v>0</v>
      </c>
    </row>
    <row r="160" spans="2:36" ht="15.75" thickBot="1">
      <c r="B160" s="141"/>
      <c r="C160" s="141"/>
      <c r="D160" s="141"/>
      <c r="E160" s="141"/>
      <c r="F160" s="141"/>
      <c r="G160" s="141"/>
      <c r="H160" s="141"/>
      <c r="I160" s="141"/>
      <c r="J160" s="141"/>
      <c r="K160" s="141"/>
      <c r="L160" s="141"/>
      <c r="M160" s="141"/>
      <c r="N160" s="141"/>
      <c r="O160" s="141"/>
      <c r="P160" s="141"/>
      <c r="Q160" s="141"/>
      <c r="R160" s="141"/>
      <c r="S160" s="141"/>
      <c r="T160" s="141"/>
      <c r="U160" s="141"/>
      <c r="V160" s="141"/>
      <c r="W160" s="141"/>
      <c r="X160" s="141"/>
      <c r="Y160" s="141"/>
      <c r="Z160" s="141"/>
      <c r="AA160" s="141"/>
      <c r="AB160" s="141"/>
      <c r="AC160" s="141"/>
      <c r="AD160" s="141"/>
      <c r="AE160" s="141"/>
      <c r="AF160" s="141"/>
      <c r="AG160" s="141"/>
      <c r="AH160" s="141"/>
      <c r="AI160" s="141"/>
      <c r="AJ160" s="141"/>
    </row>
    <row r="161" spans="2:36" s="27" customFormat="1" ht="15.75">
      <c r="B161" s="95"/>
      <c r="C161" s="95"/>
      <c r="D161" s="95"/>
      <c r="E161" s="95"/>
      <c r="F161" s="110"/>
      <c r="G161" s="120"/>
      <c r="H161" s="121"/>
      <c r="I161" s="95"/>
      <c r="J161" s="95"/>
      <c r="K161" s="95"/>
      <c r="L161" s="95"/>
      <c r="M161" s="95"/>
      <c r="N161" s="95"/>
      <c r="O161" s="95"/>
      <c r="P161" s="95"/>
      <c r="Q161" s="95"/>
      <c r="R161" s="95"/>
      <c r="S161" s="95"/>
      <c r="T161" s="95"/>
      <c r="U161" s="95"/>
      <c r="V161" s="95"/>
      <c r="W161" s="95"/>
      <c r="X161" s="95"/>
      <c r="Y161" s="95"/>
      <c r="Z161" s="95"/>
      <c r="AA161" s="95"/>
      <c r="AB161" s="95"/>
      <c r="AC161" s="95"/>
      <c r="AD161" s="95"/>
      <c r="AE161" s="95"/>
      <c r="AF161" s="95"/>
      <c r="AG161" s="95"/>
      <c r="AH161" s="95"/>
      <c r="AI161" s="95"/>
      <c r="AJ161" s="95"/>
    </row>
    <row r="162" spans="2:36" s="27" customFormat="1" ht="15.75">
      <c r="B162" s="94" t="s">
        <v>191</v>
      </c>
      <c r="C162" s="94"/>
      <c r="D162" s="94"/>
      <c r="E162" s="95"/>
      <c r="F162" s="110"/>
      <c r="G162" s="120"/>
      <c r="H162" s="121"/>
      <c r="I162" s="95"/>
      <c r="J162" s="95"/>
      <c r="K162" s="95"/>
      <c r="L162" s="95"/>
      <c r="M162" s="95"/>
      <c r="N162" s="95"/>
      <c r="O162" s="95"/>
      <c r="P162" s="95"/>
      <c r="Q162" s="95"/>
      <c r="R162" s="95"/>
      <c r="S162" s="95"/>
      <c r="T162" s="95"/>
      <c r="U162" s="95"/>
      <c r="V162" s="95"/>
      <c r="W162" s="95"/>
      <c r="X162" s="95"/>
      <c r="Y162" s="95"/>
      <c r="Z162" s="95"/>
      <c r="AA162" s="95"/>
      <c r="AB162" s="95"/>
      <c r="AC162" s="95"/>
      <c r="AD162" s="95"/>
      <c r="AE162" s="95"/>
      <c r="AF162" s="95"/>
      <c r="AG162" s="95"/>
      <c r="AH162" s="95"/>
      <c r="AI162" s="95"/>
      <c r="AJ162" s="95"/>
    </row>
    <row r="163" spans="2:36" s="27" customFormat="1" ht="15">
      <c r="B163" s="95" t="s">
        <v>192</v>
      </c>
      <c r="C163" s="95"/>
      <c r="D163" s="95"/>
      <c r="E163" s="95"/>
      <c r="F163" s="110"/>
      <c r="G163" s="156">
        <f>IF(OR('CREST Inputs'!$G$73="No",'CREST Inputs'!$Q$19="Performance-Based",'CREST Inputs'!$Q$19="Neither"),0,IF(AND('CREST Inputs'!$Q$20="ITC",G$2=1),'CREST Inputs'!$Q$23,IF(G$2&gt;1,0,IF('CREST Inputs'!$Q$20="Cash Grant",0,"ERROR"))))</f>
        <v>943843.0036128527</v>
      </c>
      <c r="H163" s="156">
        <f>IF(OR('CREST Inputs'!$G$73="No",'CREST Inputs'!$Q$19="Performance-Based",'CREST Inputs'!$Q$19="Neither"),0,IF(AND('CREST Inputs'!$Q$20="ITC",H$2=1),'CREST Inputs'!$Q$23,IF(H$2&gt;1,0,IF('CREST Inputs'!$Q$20="Cash Grant",0,"ERROR"))))</f>
        <v>0</v>
      </c>
      <c r="I163" s="156">
        <f>IF(OR('CREST Inputs'!$G$73="No",'CREST Inputs'!$Q$19="Performance-Based",'CREST Inputs'!$Q$19="Neither"),0,IF(AND('CREST Inputs'!$Q$20="ITC",I$2=1),'CREST Inputs'!$Q$23,IF(I$2&gt;1,0,IF('CREST Inputs'!$Q$20="Cash Grant",0,"ERROR"))))</f>
        <v>0</v>
      </c>
      <c r="J163" s="156">
        <f>IF(OR('CREST Inputs'!$G$73="No",'CREST Inputs'!$Q$19="Performance-Based",'CREST Inputs'!$Q$19="Neither"),0,IF(AND('CREST Inputs'!$Q$20="ITC",J$2=1),'CREST Inputs'!$Q$23,IF(J$2&gt;1,0,IF('CREST Inputs'!$Q$20="Cash Grant",0,"ERROR"))))</f>
        <v>0</v>
      </c>
      <c r="K163" s="156">
        <f>IF(OR('CREST Inputs'!$G$73="No",'CREST Inputs'!$Q$19="Performance-Based",'CREST Inputs'!$Q$19="Neither"),0,IF(AND('CREST Inputs'!$Q$20="ITC",K$2=1),'CREST Inputs'!$Q$23,IF(K$2&gt;1,0,IF('CREST Inputs'!$Q$20="Cash Grant",0,"ERROR"))))</f>
        <v>0</v>
      </c>
      <c r="L163" s="156">
        <f>IF(OR('CREST Inputs'!$G$73="No",'CREST Inputs'!$Q$19="Performance-Based",'CREST Inputs'!$Q$19="Neither"),0,IF(AND('CREST Inputs'!$Q$20="ITC",L$2=1),'CREST Inputs'!$Q$23,IF(L$2&gt;1,0,IF('CREST Inputs'!$Q$20="Cash Grant",0,"ERROR"))))</f>
        <v>0</v>
      </c>
      <c r="M163" s="156">
        <f>IF(OR('CREST Inputs'!$G$73="No",'CREST Inputs'!$Q$19="Performance-Based",'CREST Inputs'!$Q$19="Neither"),0,IF(AND('CREST Inputs'!$Q$20="ITC",M$2=1),'CREST Inputs'!$Q$23,IF(M$2&gt;1,0,IF('CREST Inputs'!$Q$20="Cash Grant",0,"ERROR"))))</f>
        <v>0</v>
      </c>
      <c r="N163" s="156">
        <f>IF(OR('CREST Inputs'!$G$73="No",'CREST Inputs'!$Q$19="Performance-Based",'CREST Inputs'!$Q$19="Neither"),0,IF(AND('CREST Inputs'!$Q$20="ITC",N$2=1),'CREST Inputs'!$Q$23,IF(N$2&gt;1,0,IF('CREST Inputs'!$Q$20="Cash Grant",0,"ERROR"))))</f>
        <v>0</v>
      </c>
      <c r="O163" s="156">
        <f>IF(OR('CREST Inputs'!$G$73="No",'CREST Inputs'!$Q$19="Performance-Based",'CREST Inputs'!$Q$19="Neither"),0,IF(AND('CREST Inputs'!$Q$20="ITC",O$2=1),'CREST Inputs'!$Q$23,IF(O$2&gt;1,0,IF('CREST Inputs'!$Q$20="Cash Grant",0,"ERROR"))))</f>
        <v>0</v>
      </c>
      <c r="P163" s="156">
        <f>IF(OR('CREST Inputs'!$G$73="No",'CREST Inputs'!$Q$19="Performance-Based",'CREST Inputs'!$Q$19="Neither"),0,IF(AND('CREST Inputs'!$Q$20="ITC",P$2=1),'CREST Inputs'!$Q$23,IF(P$2&gt;1,0,IF('CREST Inputs'!$Q$20="Cash Grant",0,"ERROR"))))</f>
        <v>0</v>
      </c>
      <c r="Q163" s="156">
        <f>IF(OR('CREST Inputs'!$G$73="No",'CREST Inputs'!$Q$19="Performance-Based",'CREST Inputs'!$Q$19="Neither"),0,IF(AND('CREST Inputs'!$Q$20="ITC",Q$2=1),'CREST Inputs'!$Q$23,IF(Q$2&gt;1,0,IF('CREST Inputs'!$Q$20="Cash Grant",0,"ERROR"))))</f>
        <v>0</v>
      </c>
      <c r="R163" s="156">
        <f>IF(OR('CREST Inputs'!$G$73="No",'CREST Inputs'!$Q$19="Performance-Based",'CREST Inputs'!$Q$19="Neither"),0,IF(AND('CREST Inputs'!$Q$20="ITC",R$2=1),'CREST Inputs'!$Q$23,IF(R$2&gt;1,0,IF('CREST Inputs'!$Q$20="Cash Grant",0,"ERROR"))))</f>
        <v>0</v>
      </c>
      <c r="S163" s="156">
        <f>IF(OR('CREST Inputs'!$G$73="No",'CREST Inputs'!$Q$19="Performance-Based",'CREST Inputs'!$Q$19="Neither"),0,IF(AND('CREST Inputs'!$Q$20="ITC",S$2=1),'CREST Inputs'!$Q$23,IF(S$2&gt;1,0,IF('CREST Inputs'!$Q$20="Cash Grant",0,"ERROR"))))</f>
        <v>0</v>
      </c>
      <c r="T163" s="156">
        <f>IF(OR('CREST Inputs'!$G$73="No",'CREST Inputs'!$Q$19="Performance-Based",'CREST Inputs'!$Q$19="Neither"),0,IF(AND('CREST Inputs'!$Q$20="ITC",T$2=1),'CREST Inputs'!$Q$23,IF(T$2&gt;1,0,IF('CREST Inputs'!$Q$20="Cash Grant",0,"ERROR"))))</f>
        <v>0</v>
      </c>
      <c r="U163" s="156">
        <f>IF(OR('CREST Inputs'!$G$73="No",'CREST Inputs'!$Q$19="Performance-Based",'CREST Inputs'!$Q$19="Neither"),0,IF(AND('CREST Inputs'!$Q$20="ITC",U$2=1),'CREST Inputs'!$Q$23,IF(U$2&gt;1,0,IF('CREST Inputs'!$Q$20="Cash Grant",0,"ERROR"))))</f>
        <v>0</v>
      </c>
      <c r="V163" s="156">
        <f>IF(OR('CREST Inputs'!$G$73="No",'CREST Inputs'!$Q$19="Performance-Based",'CREST Inputs'!$Q$19="Neither"),0,IF(AND('CREST Inputs'!$Q$20="ITC",V$2=1),'CREST Inputs'!$Q$23,IF(V$2&gt;1,0,IF('CREST Inputs'!$Q$20="Cash Grant",0,"ERROR"))))</f>
        <v>0</v>
      </c>
      <c r="W163" s="156">
        <f>IF(OR('CREST Inputs'!$G$73="No",'CREST Inputs'!$Q$19="Performance-Based",'CREST Inputs'!$Q$19="Neither"),0,IF(AND('CREST Inputs'!$Q$20="ITC",W$2=1),'CREST Inputs'!$Q$23,IF(W$2&gt;1,0,IF('CREST Inputs'!$Q$20="Cash Grant",0,"ERROR"))))</f>
        <v>0</v>
      </c>
      <c r="X163" s="156">
        <f>IF(OR('CREST Inputs'!$G$73="No",'CREST Inputs'!$Q$19="Performance-Based",'CREST Inputs'!$Q$19="Neither"),0,IF(AND('CREST Inputs'!$Q$20="ITC",X$2=1),'CREST Inputs'!$Q$23,IF(X$2&gt;1,0,IF('CREST Inputs'!$Q$20="Cash Grant",0,"ERROR"))))</f>
        <v>0</v>
      </c>
      <c r="Y163" s="156">
        <f>IF(OR('CREST Inputs'!$G$73="No",'CREST Inputs'!$Q$19="Performance-Based",'CREST Inputs'!$Q$19="Neither"),0,IF(AND('CREST Inputs'!$Q$20="ITC",Y$2=1),'CREST Inputs'!$Q$23,IF(Y$2&gt;1,0,IF('CREST Inputs'!$Q$20="Cash Grant",0,"ERROR"))))</f>
        <v>0</v>
      </c>
      <c r="Z163" s="156">
        <f>IF(OR('CREST Inputs'!$G$73="No",'CREST Inputs'!$Q$19="Performance-Based",'CREST Inputs'!$Q$19="Neither"),0,IF(AND('CREST Inputs'!$Q$20="ITC",Z$2=1),'CREST Inputs'!$Q$23,IF(Z$2&gt;1,0,IF('CREST Inputs'!$Q$20="Cash Grant",0,"ERROR"))))</f>
        <v>0</v>
      </c>
      <c r="AA163" s="156">
        <f>IF(OR('CREST Inputs'!$G$73="No",'CREST Inputs'!$Q$19="Performance-Based",'CREST Inputs'!$Q$19="Neither"),0,IF(AND('CREST Inputs'!$Q$20="ITC",AA$2=1),'CREST Inputs'!$Q$23,IF(AA$2&gt;1,0,IF('CREST Inputs'!$Q$20="Cash Grant",0,"ERROR"))))</f>
        <v>0</v>
      </c>
      <c r="AB163" s="156">
        <f>IF(OR('CREST Inputs'!$G$73="No",'CREST Inputs'!$Q$19="Performance-Based",'CREST Inputs'!$Q$19="Neither"),0,IF(AND('CREST Inputs'!$Q$20="ITC",AB$2=1),'CREST Inputs'!$Q$23,IF(AB$2&gt;1,0,IF('CREST Inputs'!$Q$20="Cash Grant",0,"ERROR"))))</f>
        <v>0</v>
      </c>
      <c r="AC163" s="156">
        <f>IF(OR('CREST Inputs'!$G$73="No",'CREST Inputs'!$Q$19="Performance-Based",'CREST Inputs'!$Q$19="Neither"),0,IF(AND('CREST Inputs'!$Q$20="ITC",AC$2=1),'CREST Inputs'!$Q$23,IF(AC$2&gt;1,0,IF('CREST Inputs'!$Q$20="Cash Grant",0,"ERROR"))))</f>
        <v>0</v>
      </c>
      <c r="AD163" s="156">
        <f>IF(OR('CREST Inputs'!$G$73="No",'CREST Inputs'!$Q$19="Performance-Based",'CREST Inputs'!$Q$19="Neither"),0,IF(AND('CREST Inputs'!$Q$20="ITC",AD$2=1),'CREST Inputs'!$Q$23,IF(AD$2&gt;1,0,IF('CREST Inputs'!$Q$20="Cash Grant",0,"ERROR"))))</f>
        <v>0</v>
      </c>
      <c r="AE163" s="156">
        <f>IF(OR('CREST Inputs'!$G$73="No",'CREST Inputs'!$Q$19="Performance-Based",'CREST Inputs'!$Q$19="Neither"),0,IF(AND('CREST Inputs'!$Q$20="ITC",AE$2=1),'CREST Inputs'!$Q$23,IF(AE$2&gt;1,0,IF('CREST Inputs'!$Q$20="Cash Grant",0,"ERROR"))))</f>
        <v>0</v>
      </c>
      <c r="AF163" s="156">
        <f>IF(OR('CREST Inputs'!$G$73="No",'CREST Inputs'!$Q$19="Performance-Based",'CREST Inputs'!$Q$19="Neither"),0,IF(AND('CREST Inputs'!$Q$20="ITC",AF$2=1),'CREST Inputs'!$Q$23,IF(AF$2&gt;1,0,IF('CREST Inputs'!$Q$20="Cash Grant",0,"ERROR"))))</f>
        <v>0</v>
      </c>
      <c r="AG163" s="156">
        <f>IF(OR('CREST Inputs'!$G$73="No",'CREST Inputs'!$Q$19="Performance-Based",'CREST Inputs'!$Q$19="Neither"),0,IF(AND('CREST Inputs'!$Q$20="ITC",AG$2=1),'CREST Inputs'!$Q$23,IF(AG$2&gt;1,0,IF('CREST Inputs'!$Q$20="Cash Grant",0,"ERROR"))))</f>
        <v>0</v>
      </c>
      <c r="AH163" s="156">
        <f>IF(OR('CREST Inputs'!$G$73="No",'CREST Inputs'!$Q$19="Performance-Based",'CREST Inputs'!$Q$19="Neither"),0,IF(AND('CREST Inputs'!$Q$20="ITC",AH$2=1),'CREST Inputs'!$Q$23,IF(AH$2&gt;1,0,IF('CREST Inputs'!$Q$20="Cash Grant",0,"ERROR"))))</f>
        <v>0</v>
      </c>
      <c r="AI163" s="156">
        <f>IF(OR('CREST Inputs'!$G$73="No",'CREST Inputs'!$Q$19="Performance-Based",'CREST Inputs'!$Q$19="Neither"),0,IF(AND('CREST Inputs'!$Q$20="ITC",AI$2=1),'CREST Inputs'!$Q$23,IF(AI$2&gt;1,0,IF('CREST Inputs'!$Q$20="Cash Grant",0,"ERROR"))))</f>
        <v>0</v>
      </c>
      <c r="AJ163" s="156">
        <f>IF(OR('CREST Inputs'!$G$73="No",'CREST Inputs'!$Q$19="Performance-Based",'CREST Inputs'!$Q$19="Neither"),0,IF(AND('CREST Inputs'!$Q$20="ITC",AJ$2=1),'CREST Inputs'!$Q$23,IF(AJ$2&gt;1,0,IF('CREST Inputs'!$Q$20="Cash Grant",0,"ERROR"))))</f>
        <v>0</v>
      </c>
    </row>
    <row r="164" spans="2:36" s="27" customFormat="1" ht="15">
      <c r="B164" s="95" t="s">
        <v>164</v>
      </c>
      <c r="C164" s="95"/>
      <c r="D164" s="95"/>
      <c r="E164" s="95"/>
      <c r="F164" s="110"/>
      <c r="G164" s="115">
        <f>IF(OR('CREST Inputs'!$G$73="No",'CREST Inputs'!$Q$19="Cost-Based",'CREST Inputs'!$Q$19="Neither"),0,IF('CREST Inputs'!$Q$24="Tax Credit",IF(G$2&gt;'CREST Inputs'!$Q$27,0,'CREST Inputs'!$Q$25/100*G$9*'CREST Inputs'!$Q$26*G$5*(1-MIN('CREST Inputs'!$Q$29/'CREST Inputs'!$G$26,50%))),0))</f>
        <v>0</v>
      </c>
      <c r="H164" s="115">
        <f>IF(OR('CREST Inputs'!$G$73="No",'CREST Inputs'!$Q$19="Cost-Based",'CREST Inputs'!$Q$19="Neither"),0,IF('CREST Inputs'!$Q$24="Tax Credit",IF(H$2&gt;'CREST Inputs'!$Q$27,0,'CREST Inputs'!$Q$25/100*H$9*'CREST Inputs'!$Q$26*H$5*(1-MIN('CREST Inputs'!$Q$29/'CREST Inputs'!$G$26,50%))),0))</f>
        <v>0</v>
      </c>
      <c r="I164" s="115">
        <f>IF(OR('CREST Inputs'!$G$73="No",'CREST Inputs'!$Q$19="Cost-Based",'CREST Inputs'!$Q$19="Neither"),0,IF('CREST Inputs'!$Q$24="Tax Credit",IF(I$2&gt;'CREST Inputs'!$Q$27,0,'CREST Inputs'!$Q$25/100*I$9*'CREST Inputs'!$Q$26*I$5*(1-MIN('CREST Inputs'!$Q$29/'CREST Inputs'!$G$26,50%))),0))</f>
        <v>0</v>
      </c>
      <c r="J164" s="115">
        <f>IF(OR('CREST Inputs'!$G$73="No",'CREST Inputs'!$Q$19="Cost-Based",'CREST Inputs'!$Q$19="Neither"),0,IF('CREST Inputs'!$Q$24="Tax Credit",IF(J$2&gt;'CREST Inputs'!$Q$27,0,'CREST Inputs'!$Q$25/100*J$9*'CREST Inputs'!$Q$26*J$5*(1-MIN('CREST Inputs'!$Q$29/'CREST Inputs'!$G$26,50%))),0))</f>
        <v>0</v>
      </c>
      <c r="K164" s="115">
        <f>IF(OR('CREST Inputs'!$G$73="No",'CREST Inputs'!$Q$19="Cost-Based",'CREST Inputs'!$Q$19="Neither"),0,IF('CREST Inputs'!$Q$24="Tax Credit",IF(K$2&gt;'CREST Inputs'!$Q$27,0,'CREST Inputs'!$Q$25/100*K$9*'CREST Inputs'!$Q$26*K$5*(1-MIN('CREST Inputs'!$Q$29/'CREST Inputs'!$G$26,50%))),0))</f>
        <v>0</v>
      </c>
      <c r="L164" s="115">
        <f>IF(OR('CREST Inputs'!$G$73="No",'CREST Inputs'!$Q$19="Cost-Based",'CREST Inputs'!$Q$19="Neither"),0,IF('CREST Inputs'!$Q$24="Tax Credit",IF(L$2&gt;'CREST Inputs'!$Q$27,0,'CREST Inputs'!$Q$25/100*L$9*'CREST Inputs'!$Q$26*L$5*(1-MIN('CREST Inputs'!$Q$29/'CREST Inputs'!$G$26,50%))),0))</f>
        <v>0</v>
      </c>
      <c r="M164" s="115">
        <f>IF(OR('CREST Inputs'!$G$73="No",'CREST Inputs'!$Q$19="Cost-Based",'CREST Inputs'!$Q$19="Neither"),0,IF('CREST Inputs'!$Q$24="Tax Credit",IF(M$2&gt;'CREST Inputs'!$Q$27,0,'CREST Inputs'!$Q$25/100*M$9*'CREST Inputs'!$Q$26*M$5*(1-MIN('CREST Inputs'!$Q$29/'CREST Inputs'!$G$26,50%))),0))</f>
        <v>0</v>
      </c>
      <c r="N164" s="115">
        <f>IF(OR('CREST Inputs'!$G$73="No",'CREST Inputs'!$Q$19="Cost-Based",'CREST Inputs'!$Q$19="Neither"),0,IF('CREST Inputs'!$Q$24="Tax Credit",IF(N$2&gt;'CREST Inputs'!$Q$27,0,'CREST Inputs'!$Q$25/100*N$9*'CREST Inputs'!$Q$26*N$5*(1-MIN('CREST Inputs'!$Q$29/'CREST Inputs'!$G$26,50%))),0))</f>
        <v>0</v>
      </c>
      <c r="O164" s="115">
        <f>IF(OR('CREST Inputs'!$G$73="No",'CREST Inputs'!$Q$19="Cost-Based",'CREST Inputs'!$Q$19="Neither"),0,IF('CREST Inputs'!$Q$24="Tax Credit",IF(O$2&gt;'CREST Inputs'!$Q$27,0,'CREST Inputs'!$Q$25/100*O$9*'CREST Inputs'!$Q$26*O$5*(1-MIN('CREST Inputs'!$Q$29/'CREST Inputs'!$G$26,50%))),0))</f>
        <v>0</v>
      </c>
      <c r="P164" s="115">
        <f>IF(OR('CREST Inputs'!$G$73="No",'CREST Inputs'!$Q$19="Cost-Based",'CREST Inputs'!$Q$19="Neither"),0,IF('CREST Inputs'!$Q$24="Tax Credit",IF(P$2&gt;'CREST Inputs'!$Q$27,0,'CREST Inputs'!$Q$25/100*P$9*'CREST Inputs'!$Q$26*P$5*(1-MIN('CREST Inputs'!$Q$29/'CREST Inputs'!$G$26,50%))),0))</f>
        <v>0</v>
      </c>
      <c r="Q164" s="115">
        <f>IF(OR('CREST Inputs'!$G$73="No",'CREST Inputs'!$Q$19="Cost-Based",'CREST Inputs'!$Q$19="Neither"),0,IF('CREST Inputs'!$Q$24="Tax Credit",IF(Q$2&gt;'CREST Inputs'!$Q$27,0,'CREST Inputs'!$Q$25/100*Q$9*'CREST Inputs'!$Q$26*Q$5*(1-MIN('CREST Inputs'!$Q$29/'CREST Inputs'!$G$26,50%))),0))</f>
        <v>0</v>
      </c>
      <c r="R164" s="115">
        <f>IF(OR('CREST Inputs'!$G$73="No",'CREST Inputs'!$Q$19="Cost-Based",'CREST Inputs'!$Q$19="Neither"),0,IF('CREST Inputs'!$Q$24="Tax Credit",IF(R$2&gt;'CREST Inputs'!$Q$27,0,'CREST Inputs'!$Q$25/100*R$9*'CREST Inputs'!$Q$26*R$5*(1-MIN('CREST Inputs'!$Q$29/'CREST Inputs'!$G$26,50%))),0))</f>
        <v>0</v>
      </c>
      <c r="S164" s="115">
        <f>IF(OR('CREST Inputs'!$G$73="No",'CREST Inputs'!$Q$19="Cost-Based",'CREST Inputs'!$Q$19="Neither"),0,IF('CREST Inputs'!$Q$24="Tax Credit",IF(S$2&gt;'CREST Inputs'!$Q$27,0,'CREST Inputs'!$Q$25/100*S$9*'CREST Inputs'!$Q$26*S$5*(1-MIN('CREST Inputs'!$Q$29/'CREST Inputs'!$G$26,50%))),0))</f>
        <v>0</v>
      </c>
      <c r="T164" s="115">
        <f>IF(OR('CREST Inputs'!$G$73="No",'CREST Inputs'!$Q$19="Cost-Based",'CREST Inputs'!$Q$19="Neither"),0,IF('CREST Inputs'!$Q$24="Tax Credit",IF(T$2&gt;'CREST Inputs'!$Q$27,0,'CREST Inputs'!$Q$25/100*T$9*'CREST Inputs'!$Q$26*T$5*(1-MIN('CREST Inputs'!$Q$29/'CREST Inputs'!$G$26,50%))),0))</f>
        <v>0</v>
      </c>
      <c r="U164" s="115">
        <f>IF(OR('CREST Inputs'!$G$73="No",'CREST Inputs'!$Q$19="Cost-Based",'CREST Inputs'!$Q$19="Neither"),0,IF('CREST Inputs'!$Q$24="Tax Credit",IF(U$2&gt;'CREST Inputs'!$Q$27,0,'CREST Inputs'!$Q$25/100*U$9*'CREST Inputs'!$Q$26*U$5*(1-MIN('CREST Inputs'!$Q$29/'CREST Inputs'!$G$26,50%))),0))</f>
        <v>0</v>
      </c>
      <c r="V164" s="115">
        <f>IF(OR('CREST Inputs'!$G$73="No",'CREST Inputs'!$Q$19="Cost-Based",'CREST Inputs'!$Q$19="Neither"),0,IF('CREST Inputs'!$Q$24="Tax Credit",IF(V$2&gt;'CREST Inputs'!$Q$27,0,'CREST Inputs'!$Q$25/100*V$9*'CREST Inputs'!$Q$26*V$5*(1-MIN('CREST Inputs'!$Q$29/'CREST Inputs'!$G$26,50%))),0))</f>
        <v>0</v>
      </c>
      <c r="W164" s="115">
        <f>IF(OR('CREST Inputs'!$G$73="No",'CREST Inputs'!$Q$19="Cost-Based",'CREST Inputs'!$Q$19="Neither"),0,IF('CREST Inputs'!$Q$24="Tax Credit",IF(W$2&gt;'CREST Inputs'!$Q$27,0,'CREST Inputs'!$Q$25/100*W$9*'CREST Inputs'!$Q$26*W$5*(1-MIN('CREST Inputs'!$Q$29/'CREST Inputs'!$G$26,50%))),0))</f>
        <v>0</v>
      </c>
      <c r="X164" s="115">
        <f>IF(OR('CREST Inputs'!$G$73="No",'CREST Inputs'!$Q$19="Cost-Based",'CREST Inputs'!$Q$19="Neither"),0,IF('CREST Inputs'!$Q$24="Tax Credit",IF(X$2&gt;'CREST Inputs'!$Q$27,0,'CREST Inputs'!$Q$25/100*X$9*'CREST Inputs'!$Q$26*X$5*(1-MIN('CREST Inputs'!$Q$29/'CREST Inputs'!$G$26,50%))),0))</f>
        <v>0</v>
      </c>
      <c r="Y164" s="115">
        <f>IF(OR('CREST Inputs'!$G$73="No",'CREST Inputs'!$Q$19="Cost-Based",'CREST Inputs'!$Q$19="Neither"),0,IF('CREST Inputs'!$Q$24="Tax Credit",IF(Y$2&gt;'CREST Inputs'!$Q$27,0,'CREST Inputs'!$Q$25/100*Y$9*'CREST Inputs'!$Q$26*Y$5*(1-MIN('CREST Inputs'!$Q$29/'CREST Inputs'!$G$26,50%))),0))</f>
        <v>0</v>
      </c>
      <c r="Z164" s="115">
        <f>IF(OR('CREST Inputs'!$G$73="No",'CREST Inputs'!$Q$19="Cost-Based",'CREST Inputs'!$Q$19="Neither"),0,IF('CREST Inputs'!$Q$24="Tax Credit",IF(Z$2&gt;'CREST Inputs'!$Q$27,0,'CREST Inputs'!$Q$25/100*Z$9*'CREST Inputs'!$Q$26*Z$5*(1-MIN('CREST Inputs'!$Q$29/'CREST Inputs'!$G$26,50%))),0))</f>
        <v>0</v>
      </c>
      <c r="AA164" s="115">
        <f>IF(OR('CREST Inputs'!$G$73="No",'CREST Inputs'!$Q$19="Cost-Based",'CREST Inputs'!$Q$19="Neither"),0,IF('CREST Inputs'!$Q$24="Tax Credit",IF(AA$2&gt;'CREST Inputs'!$Q$27,0,'CREST Inputs'!$Q$25/100*AA$9*'CREST Inputs'!$Q$26*AA$5*(1-MIN('CREST Inputs'!$Q$29/'CREST Inputs'!$G$26,50%))),0))</f>
        <v>0</v>
      </c>
      <c r="AB164" s="115">
        <f>IF(OR('CREST Inputs'!$G$73="No",'CREST Inputs'!$Q$19="Cost-Based",'CREST Inputs'!$Q$19="Neither"),0,IF('CREST Inputs'!$Q$24="Tax Credit",IF(AB$2&gt;'CREST Inputs'!$Q$27,0,'CREST Inputs'!$Q$25/100*AB$9*'CREST Inputs'!$Q$26*AB$5*(1-MIN('CREST Inputs'!$Q$29/'CREST Inputs'!$G$26,50%))),0))</f>
        <v>0</v>
      </c>
      <c r="AC164" s="115">
        <f>IF(OR('CREST Inputs'!$G$73="No",'CREST Inputs'!$Q$19="Cost-Based",'CREST Inputs'!$Q$19="Neither"),0,IF('CREST Inputs'!$Q$24="Tax Credit",IF(AC$2&gt;'CREST Inputs'!$Q$27,0,'CREST Inputs'!$Q$25/100*AC$9*'CREST Inputs'!$Q$26*AC$5*(1-MIN('CREST Inputs'!$Q$29/'CREST Inputs'!$G$26,50%))),0))</f>
        <v>0</v>
      </c>
      <c r="AD164" s="115">
        <f>IF(OR('CREST Inputs'!$G$73="No",'CREST Inputs'!$Q$19="Cost-Based",'CREST Inputs'!$Q$19="Neither"),0,IF('CREST Inputs'!$Q$24="Tax Credit",IF(AD$2&gt;'CREST Inputs'!$Q$27,0,'CREST Inputs'!$Q$25/100*AD$9*'CREST Inputs'!$Q$26*AD$5*(1-MIN('CREST Inputs'!$Q$29/'CREST Inputs'!$G$26,50%))),0))</f>
        <v>0</v>
      </c>
      <c r="AE164" s="115">
        <f>IF(OR('CREST Inputs'!$G$73="No",'CREST Inputs'!$Q$19="Cost-Based",'CREST Inputs'!$Q$19="Neither"),0,IF('CREST Inputs'!$Q$24="Tax Credit",IF(AE$2&gt;'CREST Inputs'!$Q$27,0,'CREST Inputs'!$Q$25/100*AE$9*'CREST Inputs'!$Q$26*AE$5*(1-MIN('CREST Inputs'!$Q$29/'CREST Inputs'!$G$26,50%))),0))</f>
        <v>0</v>
      </c>
      <c r="AF164" s="115">
        <f>IF(OR('CREST Inputs'!$G$73="No",'CREST Inputs'!$Q$19="Cost-Based",'CREST Inputs'!$Q$19="Neither"),0,IF('CREST Inputs'!$Q$24="Tax Credit",IF(AF$2&gt;'CREST Inputs'!$Q$27,0,'CREST Inputs'!$Q$25/100*AF$9*'CREST Inputs'!$Q$26*AF$5*(1-MIN('CREST Inputs'!$Q$29/'CREST Inputs'!$G$26,50%))),0))</f>
        <v>0</v>
      </c>
      <c r="AG164" s="115">
        <f>IF(OR('CREST Inputs'!$G$73="No",'CREST Inputs'!$Q$19="Cost-Based",'CREST Inputs'!$Q$19="Neither"),0,IF('CREST Inputs'!$Q$24="Tax Credit",IF(AG$2&gt;'CREST Inputs'!$Q$27,0,'CREST Inputs'!$Q$25/100*AG$9*'CREST Inputs'!$Q$26*AG$5*(1-MIN('CREST Inputs'!$Q$29/'CREST Inputs'!$G$26,50%))),0))</f>
        <v>0</v>
      </c>
      <c r="AH164" s="115">
        <f>IF(OR('CREST Inputs'!$G$73="No",'CREST Inputs'!$Q$19="Cost-Based",'CREST Inputs'!$Q$19="Neither"),0,IF('CREST Inputs'!$Q$24="Tax Credit",IF(AH$2&gt;'CREST Inputs'!$Q$27,0,'CREST Inputs'!$Q$25/100*AH$9*'CREST Inputs'!$Q$26*AH$5*(1-MIN('CREST Inputs'!$Q$29/'CREST Inputs'!$G$26,50%))),0))</f>
        <v>0</v>
      </c>
      <c r="AI164" s="115">
        <f>IF(OR('CREST Inputs'!$G$73="No",'CREST Inputs'!$Q$19="Cost-Based",'CREST Inputs'!$Q$19="Neither"),0,IF('CREST Inputs'!$Q$24="Tax Credit",IF(AI$2&gt;'CREST Inputs'!$Q$27,0,'CREST Inputs'!$Q$25/100*AI$9*'CREST Inputs'!$Q$26*AI$5*(1-MIN('CREST Inputs'!$Q$29/'CREST Inputs'!$G$26,50%))),0))</f>
        <v>0</v>
      </c>
      <c r="AJ164" s="115">
        <f>IF(OR('CREST Inputs'!$G$73="No",'CREST Inputs'!$Q$19="Cost-Based",'CREST Inputs'!$Q$19="Neither"),0,IF('CREST Inputs'!$Q$24="Tax Credit",IF(AJ$2&gt;'CREST Inputs'!$Q$27,0,'CREST Inputs'!$Q$25/100*AJ$9*'CREST Inputs'!$Q$26*AJ$5*(1-MIN('CREST Inputs'!$Q$29/'CREST Inputs'!$G$26,50%))),0))</f>
        <v>0</v>
      </c>
    </row>
    <row r="165" spans="2:36" s="27" customFormat="1" ht="15">
      <c r="B165" s="95"/>
      <c r="C165" s="95"/>
      <c r="D165" s="95"/>
      <c r="E165" s="95"/>
      <c r="F165" s="110"/>
      <c r="G165" s="115"/>
      <c r="H165" s="115"/>
      <c r="I165" s="115"/>
      <c r="J165" s="115"/>
      <c r="K165" s="115"/>
      <c r="L165" s="115"/>
      <c r="M165" s="115"/>
      <c r="N165" s="115"/>
      <c r="O165" s="115"/>
      <c r="P165" s="115"/>
      <c r="Q165" s="115"/>
      <c r="R165" s="115"/>
      <c r="S165" s="115"/>
      <c r="T165" s="115"/>
      <c r="U165" s="115"/>
      <c r="V165" s="115"/>
      <c r="W165" s="115"/>
      <c r="X165" s="115"/>
      <c r="Y165" s="115"/>
      <c r="Z165" s="115"/>
      <c r="AA165" s="115"/>
      <c r="AB165" s="115"/>
      <c r="AC165" s="115"/>
      <c r="AD165" s="115"/>
      <c r="AE165" s="115"/>
      <c r="AF165" s="115"/>
      <c r="AG165" s="115"/>
      <c r="AH165" s="115"/>
      <c r="AI165" s="115"/>
      <c r="AJ165" s="115"/>
    </row>
    <row r="166" spans="2:36" s="27" customFormat="1" ht="15">
      <c r="B166" s="95" t="s">
        <v>194</v>
      </c>
      <c r="C166" s="95"/>
      <c r="D166" s="95"/>
      <c r="E166" s="95"/>
      <c r="F166" s="110"/>
      <c r="G166" s="115">
        <f>SUM(G163:G164)</f>
        <v>943843.0036128527</v>
      </c>
      <c r="H166" s="115">
        <f aca="true" t="shared" si="54" ref="H166:AJ166">SUM(H163:H164)</f>
        <v>0</v>
      </c>
      <c r="I166" s="115">
        <f t="shared" si="54"/>
        <v>0</v>
      </c>
      <c r="J166" s="115">
        <f t="shared" si="54"/>
        <v>0</v>
      </c>
      <c r="K166" s="115">
        <f t="shared" si="54"/>
        <v>0</v>
      </c>
      <c r="L166" s="115">
        <f t="shared" si="54"/>
        <v>0</v>
      </c>
      <c r="M166" s="115">
        <f t="shared" si="54"/>
        <v>0</v>
      </c>
      <c r="N166" s="115">
        <f t="shared" si="54"/>
        <v>0</v>
      </c>
      <c r="O166" s="115">
        <f t="shared" si="54"/>
        <v>0</v>
      </c>
      <c r="P166" s="115">
        <f t="shared" si="54"/>
        <v>0</v>
      </c>
      <c r="Q166" s="115">
        <f t="shared" si="54"/>
        <v>0</v>
      </c>
      <c r="R166" s="115">
        <f t="shared" si="54"/>
        <v>0</v>
      </c>
      <c r="S166" s="115">
        <f t="shared" si="54"/>
        <v>0</v>
      </c>
      <c r="T166" s="115">
        <f t="shared" si="54"/>
        <v>0</v>
      </c>
      <c r="U166" s="115">
        <f t="shared" si="54"/>
        <v>0</v>
      </c>
      <c r="V166" s="115">
        <f t="shared" si="54"/>
        <v>0</v>
      </c>
      <c r="W166" s="115">
        <f t="shared" si="54"/>
        <v>0</v>
      </c>
      <c r="X166" s="115">
        <f t="shared" si="54"/>
        <v>0</v>
      </c>
      <c r="Y166" s="115">
        <f t="shared" si="54"/>
        <v>0</v>
      </c>
      <c r="Z166" s="115">
        <f t="shared" si="54"/>
        <v>0</v>
      </c>
      <c r="AA166" s="115">
        <f t="shared" si="54"/>
        <v>0</v>
      </c>
      <c r="AB166" s="115">
        <f t="shared" si="54"/>
        <v>0</v>
      </c>
      <c r="AC166" s="115">
        <f t="shared" si="54"/>
        <v>0</v>
      </c>
      <c r="AD166" s="115">
        <f t="shared" si="54"/>
        <v>0</v>
      </c>
      <c r="AE166" s="115">
        <f t="shared" si="54"/>
        <v>0</v>
      </c>
      <c r="AF166" s="115">
        <f t="shared" si="54"/>
        <v>0</v>
      </c>
      <c r="AG166" s="115">
        <f t="shared" si="54"/>
        <v>0</v>
      </c>
      <c r="AH166" s="115">
        <f t="shared" si="54"/>
        <v>0</v>
      </c>
      <c r="AI166" s="115">
        <f t="shared" si="54"/>
        <v>0</v>
      </c>
      <c r="AJ166" s="115">
        <f t="shared" si="54"/>
        <v>0</v>
      </c>
    </row>
    <row r="167" spans="2:36" s="27" customFormat="1" ht="15">
      <c r="B167" s="95"/>
      <c r="C167" s="95"/>
      <c r="D167" s="95"/>
      <c r="E167" s="95"/>
      <c r="F167" s="110"/>
      <c r="G167" s="115"/>
      <c r="H167" s="115"/>
      <c r="I167" s="115"/>
      <c r="J167" s="115"/>
      <c r="K167" s="115"/>
      <c r="L167" s="115"/>
      <c r="M167" s="115"/>
      <c r="N167" s="115"/>
      <c r="O167" s="115"/>
      <c r="P167" s="115"/>
      <c r="Q167" s="115"/>
      <c r="R167" s="115"/>
      <c r="S167" s="115"/>
      <c r="T167" s="115"/>
      <c r="U167" s="115"/>
      <c r="V167" s="115"/>
      <c r="W167" s="115"/>
      <c r="X167" s="115"/>
      <c r="Y167" s="115"/>
      <c r="Z167" s="115"/>
      <c r="AA167" s="115"/>
      <c r="AB167" s="115"/>
      <c r="AC167" s="115"/>
      <c r="AD167" s="115"/>
      <c r="AE167" s="115"/>
      <c r="AF167" s="115"/>
      <c r="AG167" s="115"/>
      <c r="AH167" s="115"/>
      <c r="AI167" s="115"/>
      <c r="AJ167" s="115"/>
    </row>
    <row r="168" spans="2:36" s="27" customFormat="1" ht="15">
      <c r="B168" s="157" t="s">
        <v>195</v>
      </c>
      <c r="C168" s="157"/>
      <c r="D168" s="157"/>
      <c r="E168" s="95"/>
      <c r="F168" s="110"/>
      <c r="G168" s="115"/>
      <c r="H168" s="115"/>
      <c r="I168" s="115"/>
      <c r="J168" s="115"/>
      <c r="K168" s="115"/>
      <c r="L168" s="115"/>
      <c r="M168" s="115"/>
      <c r="N168" s="115"/>
      <c r="O168" s="115"/>
      <c r="P168" s="115"/>
      <c r="Q168" s="115"/>
      <c r="R168" s="115"/>
      <c r="S168" s="115"/>
      <c r="T168" s="115"/>
      <c r="U168" s="115"/>
      <c r="V168" s="115"/>
      <c r="W168" s="115"/>
      <c r="X168" s="115"/>
      <c r="Y168" s="115"/>
      <c r="Z168" s="115"/>
      <c r="AA168" s="115"/>
      <c r="AB168" s="115"/>
      <c r="AC168" s="115"/>
      <c r="AD168" s="115"/>
      <c r="AE168" s="115"/>
      <c r="AF168" s="115"/>
      <c r="AG168" s="115"/>
      <c r="AH168" s="115"/>
      <c r="AI168" s="115"/>
      <c r="AJ168" s="115"/>
    </row>
    <row r="169" spans="2:36" s="27" customFormat="1" ht="15">
      <c r="B169" s="95" t="str">
        <f>B63</f>
        <v>Federal Income Taxes Saved / (Paid), before ITC/PTC</v>
      </c>
      <c r="C169" s="95"/>
      <c r="D169" s="95"/>
      <c r="E169" s="95"/>
      <c r="F169" s="110"/>
      <c r="G169" s="115" t="str">
        <f>IF('CREST Inputs'!$G$75="as generated","N/A",'Cash Flow'!G63)</f>
        <v>N/A</v>
      </c>
      <c r="H169" s="115" t="str">
        <f>IF('CREST Inputs'!$G$75="as generated","N/A",'Cash Flow'!H63)</f>
        <v>N/A</v>
      </c>
      <c r="I169" s="115" t="str">
        <f>IF('CREST Inputs'!$G$75="as generated","N/A",'Cash Flow'!I63)</f>
        <v>N/A</v>
      </c>
      <c r="J169" s="115" t="str">
        <f>IF('CREST Inputs'!$G$75="as generated","N/A",'Cash Flow'!J63)</f>
        <v>N/A</v>
      </c>
      <c r="K169" s="115" t="str">
        <f>IF('CREST Inputs'!$G$75="as generated","N/A",'Cash Flow'!K63)</f>
        <v>N/A</v>
      </c>
      <c r="L169" s="115" t="str">
        <f>IF('CREST Inputs'!$G$75="as generated","N/A",'Cash Flow'!L63)</f>
        <v>N/A</v>
      </c>
      <c r="M169" s="115" t="str">
        <f>IF('CREST Inputs'!$G$75="as generated","N/A",'Cash Flow'!M63)</f>
        <v>N/A</v>
      </c>
      <c r="N169" s="115" t="str">
        <f>IF('CREST Inputs'!$G$75="as generated","N/A",'Cash Flow'!N63)</f>
        <v>N/A</v>
      </c>
      <c r="O169" s="115" t="str">
        <f>IF('CREST Inputs'!$G$75="as generated","N/A",'Cash Flow'!O63)</f>
        <v>N/A</v>
      </c>
      <c r="P169" s="115" t="str">
        <f>IF('CREST Inputs'!$G$75="as generated","N/A",'Cash Flow'!P63)</f>
        <v>N/A</v>
      </c>
      <c r="Q169" s="115" t="str">
        <f>IF('CREST Inputs'!$G$75="as generated","N/A",'Cash Flow'!Q63)</f>
        <v>N/A</v>
      </c>
      <c r="R169" s="115" t="str">
        <f>IF('CREST Inputs'!$G$75="as generated","N/A",'Cash Flow'!R63)</f>
        <v>N/A</v>
      </c>
      <c r="S169" s="115" t="str">
        <f>IF('CREST Inputs'!$G$75="as generated","N/A",'Cash Flow'!S63)</f>
        <v>N/A</v>
      </c>
      <c r="T169" s="115" t="str">
        <f>IF('CREST Inputs'!$G$75="as generated","N/A",'Cash Flow'!T63)</f>
        <v>N/A</v>
      </c>
      <c r="U169" s="115" t="str">
        <f>IF('CREST Inputs'!$G$75="as generated","N/A",'Cash Flow'!U63)</f>
        <v>N/A</v>
      </c>
      <c r="V169" s="115" t="str">
        <f>IF('CREST Inputs'!$G$75="as generated","N/A",'Cash Flow'!V63)</f>
        <v>N/A</v>
      </c>
      <c r="W169" s="115" t="str">
        <f>IF('CREST Inputs'!$G$75="as generated","N/A",'Cash Flow'!W63)</f>
        <v>N/A</v>
      </c>
      <c r="X169" s="115" t="str">
        <f>IF('CREST Inputs'!$G$75="as generated","N/A",'Cash Flow'!X63)</f>
        <v>N/A</v>
      </c>
      <c r="Y169" s="115" t="str">
        <f>IF('CREST Inputs'!$G$75="as generated","N/A",'Cash Flow'!Y63)</f>
        <v>N/A</v>
      </c>
      <c r="Z169" s="115" t="str">
        <f>IF('CREST Inputs'!$G$75="as generated","N/A",'Cash Flow'!Z63)</f>
        <v>N/A</v>
      </c>
      <c r="AA169" s="115" t="str">
        <f>IF('CREST Inputs'!$G$75="as generated","N/A",'Cash Flow'!AA63)</f>
        <v>N/A</v>
      </c>
      <c r="AB169" s="115" t="str">
        <f>IF('CREST Inputs'!$G$75="as generated","N/A",'Cash Flow'!AB63)</f>
        <v>N/A</v>
      </c>
      <c r="AC169" s="115" t="str">
        <f>IF('CREST Inputs'!$G$75="as generated","N/A",'Cash Flow'!AC63)</f>
        <v>N/A</v>
      </c>
      <c r="AD169" s="115" t="str">
        <f>IF('CREST Inputs'!$G$75="as generated","N/A",'Cash Flow'!AD63)</f>
        <v>N/A</v>
      </c>
      <c r="AE169" s="115" t="str">
        <f>IF('CREST Inputs'!$G$75="as generated","N/A",'Cash Flow'!AE63)</f>
        <v>N/A</v>
      </c>
      <c r="AF169" s="115" t="str">
        <f>IF('CREST Inputs'!$G$75="as generated","N/A",'Cash Flow'!AF63)</f>
        <v>N/A</v>
      </c>
      <c r="AG169" s="115" t="str">
        <f>IF('CREST Inputs'!$G$75="as generated","N/A",'Cash Flow'!AG63)</f>
        <v>N/A</v>
      </c>
      <c r="AH169" s="115" t="str">
        <f>IF('CREST Inputs'!$G$75="as generated","N/A",'Cash Flow'!AH63)</f>
        <v>N/A</v>
      </c>
      <c r="AI169" s="115" t="str">
        <f>IF('CREST Inputs'!$G$75="as generated","N/A",'Cash Flow'!AI63)</f>
        <v>N/A</v>
      </c>
      <c r="AJ169" s="115" t="str">
        <f>IF('CREST Inputs'!$G$75="as generated","N/A",'Cash Flow'!AJ63)</f>
        <v>N/A</v>
      </c>
    </row>
    <row r="170" spans="2:36" s="27" customFormat="1" ht="15">
      <c r="B170" s="95"/>
      <c r="C170" s="95"/>
      <c r="D170" s="95"/>
      <c r="E170" s="95"/>
      <c r="F170" s="110"/>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row>
    <row r="171" spans="2:36" s="27" customFormat="1" ht="15">
      <c r="B171" s="95" t="s">
        <v>226</v>
      </c>
      <c r="C171" s="95"/>
      <c r="D171" s="95"/>
      <c r="E171" s="95"/>
      <c r="F171" s="110"/>
      <c r="G171" s="115">
        <v>0</v>
      </c>
      <c r="H171" s="115">
        <f>IF('CREST Inputs'!$G$75="as generated",0,G174)</f>
        <v>0</v>
      </c>
      <c r="I171" s="115">
        <f>IF('CREST Inputs'!$G$75="as generated",0,H174)</f>
        <v>0</v>
      </c>
      <c r="J171" s="115">
        <f>IF('CREST Inputs'!$G$75="as generated",0,I174)</f>
        <v>0</v>
      </c>
      <c r="K171" s="115">
        <f>IF('CREST Inputs'!$G$75="as generated",0,J174)</f>
        <v>0</v>
      </c>
      <c r="L171" s="115">
        <f>IF('CREST Inputs'!$G$75="as generated",0,K174)</f>
        <v>0</v>
      </c>
      <c r="M171" s="115">
        <f>IF('CREST Inputs'!$G$75="as generated",0,L174)</f>
        <v>0</v>
      </c>
      <c r="N171" s="115">
        <f>IF('CREST Inputs'!$G$75="as generated",0,M174)</f>
        <v>0</v>
      </c>
      <c r="O171" s="115">
        <f>IF('CREST Inputs'!$G$75="as generated",0,N174)</f>
        <v>0</v>
      </c>
      <c r="P171" s="115">
        <f>IF('CREST Inputs'!$G$75="as generated",0,O174)</f>
        <v>0</v>
      </c>
      <c r="Q171" s="115">
        <f>IF('CREST Inputs'!$G$75="as generated",0,P174)</f>
        <v>0</v>
      </c>
      <c r="R171" s="115">
        <f>IF('CREST Inputs'!$G$75="as generated",0,Q174)</f>
        <v>0</v>
      </c>
      <c r="S171" s="115">
        <f>IF('CREST Inputs'!$G$75="as generated",0,R174)</f>
        <v>0</v>
      </c>
      <c r="T171" s="115">
        <f>IF('CREST Inputs'!$G$75="as generated",0,S174)</f>
        <v>0</v>
      </c>
      <c r="U171" s="115">
        <f>IF('CREST Inputs'!$G$75="as generated",0,T174)</f>
        <v>0</v>
      </c>
      <c r="V171" s="115">
        <f>IF('CREST Inputs'!$G$75="as generated",0,U174)</f>
        <v>0</v>
      </c>
      <c r="W171" s="115">
        <f>IF('CREST Inputs'!$G$75="as generated",0,V174)</f>
        <v>0</v>
      </c>
      <c r="X171" s="115">
        <f>IF('CREST Inputs'!$G$75="as generated",0,W174)</f>
        <v>0</v>
      </c>
      <c r="Y171" s="115">
        <f>IF('CREST Inputs'!$G$75="as generated",0,X174)</f>
        <v>0</v>
      </c>
      <c r="Z171" s="115">
        <f>IF('CREST Inputs'!$G$75="as generated",0,Y174)</f>
        <v>0</v>
      </c>
      <c r="AA171" s="115">
        <f>IF('CREST Inputs'!$G$75="as generated",0,Z174)</f>
        <v>0</v>
      </c>
      <c r="AB171" s="115">
        <f>IF('CREST Inputs'!$G$75="as generated",0,AA174)</f>
        <v>0</v>
      </c>
      <c r="AC171" s="115">
        <f>IF('CREST Inputs'!$G$75="as generated",0,AB174)</f>
        <v>0</v>
      </c>
      <c r="AD171" s="115">
        <f>IF('CREST Inputs'!$G$75="as generated",0,AC174)</f>
        <v>0</v>
      </c>
      <c r="AE171" s="115">
        <f>IF('CREST Inputs'!$G$75="as generated",0,AD174)</f>
        <v>0</v>
      </c>
      <c r="AF171" s="115">
        <f>IF('CREST Inputs'!$G$75="as generated",0,AE174)</f>
        <v>0</v>
      </c>
      <c r="AG171" s="115">
        <f>IF('CREST Inputs'!$G$75="as generated",0,AF174)</f>
        <v>0</v>
      </c>
      <c r="AH171" s="115">
        <f>IF('CREST Inputs'!$G$75="as generated",0,AG174)</f>
        <v>0</v>
      </c>
      <c r="AI171" s="115">
        <f>IF('CREST Inputs'!$G$75="as generated",0,AH174)</f>
        <v>0</v>
      </c>
      <c r="AJ171" s="115">
        <f>IF('CREST Inputs'!$G$75="as generated",0,AI174)</f>
        <v>0</v>
      </c>
    </row>
    <row r="172" spans="2:36" s="27" customFormat="1" ht="15">
      <c r="B172" s="95" t="s">
        <v>227</v>
      </c>
      <c r="C172" s="95"/>
      <c r="D172" s="95"/>
      <c r="E172" s="95"/>
      <c r="F172" s="110"/>
      <c r="G172" s="115">
        <f>IF('CREST Inputs'!$G$75="as generated",0,IF(G169&lt;=0,G166,0))</f>
        <v>0</v>
      </c>
      <c r="H172" s="115">
        <f>IF('CREST Inputs'!$G$75="as generated",0,IF(H169&lt;=0,H166,0))</f>
        <v>0</v>
      </c>
      <c r="I172" s="115">
        <f>IF('CREST Inputs'!$G$75="as generated",0,IF(I169&lt;=0,I166,0))</f>
        <v>0</v>
      </c>
      <c r="J172" s="115">
        <f>IF('CREST Inputs'!$G$75="as generated",0,IF(J169&lt;=0,J166,0))</f>
        <v>0</v>
      </c>
      <c r="K172" s="115">
        <f>IF('CREST Inputs'!$G$75="as generated",0,IF(K169&lt;=0,K166,0))</f>
        <v>0</v>
      </c>
      <c r="L172" s="115">
        <f>IF('CREST Inputs'!$G$75="as generated",0,IF(L169&lt;=0,L166,0))</f>
        <v>0</v>
      </c>
      <c r="M172" s="115">
        <f>IF('CREST Inputs'!$G$75="as generated",0,IF(M169&lt;=0,M166,0))</f>
        <v>0</v>
      </c>
      <c r="N172" s="115">
        <f>IF('CREST Inputs'!$G$75="as generated",0,IF(N169&lt;=0,N166,0))</f>
        <v>0</v>
      </c>
      <c r="O172" s="115">
        <f>IF('CREST Inputs'!$G$75="as generated",0,IF(O169&lt;=0,O166,0))</f>
        <v>0</v>
      </c>
      <c r="P172" s="115">
        <f>IF('CREST Inputs'!$G$75="as generated",0,IF(P169&lt;=0,P166,0))</f>
        <v>0</v>
      </c>
      <c r="Q172" s="115">
        <f>IF('CREST Inputs'!$G$75="as generated",0,IF(Q169&lt;=0,Q166,0))</f>
        <v>0</v>
      </c>
      <c r="R172" s="115">
        <f>IF('CREST Inputs'!$G$75="as generated",0,IF(R169&lt;=0,R166,0))</f>
        <v>0</v>
      </c>
      <c r="S172" s="115">
        <f>IF('CREST Inputs'!$G$75="as generated",0,IF(S169&lt;=0,S166,0))</f>
        <v>0</v>
      </c>
      <c r="T172" s="115">
        <f>IF('CREST Inputs'!$G$75="as generated",0,IF(T169&lt;=0,T166,0))</f>
        <v>0</v>
      </c>
      <c r="U172" s="115">
        <f>IF('CREST Inputs'!$G$75="as generated",0,IF(U169&lt;=0,U166,0))</f>
        <v>0</v>
      </c>
      <c r="V172" s="115">
        <f>IF('CREST Inputs'!$G$75="as generated",0,IF(V169&lt;=0,V166,0))</f>
        <v>0</v>
      </c>
      <c r="W172" s="115">
        <f>IF('CREST Inputs'!$G$75="as generated",0,IF(W169&lt;=0,W166,0))</f>
        <v>0</v>
      </c>
      <c r="X172" s="115">
        <f>IF('CREST Inputs'!$G$75="as generated",0,IF(X169&lt;=0,X166,0))</f>
        <v>0</v>
      </c>
      <c r="Y172" s="115">
        <f>IF('CREST Inputs'!$G$75="as generated",0,IF(Y169&lt;=0,Y166,0))</f>
        <v>0</v>
      </c>
      <c r="Z172" s="115">
        <f>IF('CREST Inputs'!$G$75="as generated",0,IF(Z169&lt;=0,Z166,0))</f>
        <v>0</v>
      </c>
      <c r="AA172" s="115">
        <f>IF('CREST Inputs'!$G$75="as generated",0,IF(AA169&lt;=0,AA166,0))</f>
        <v>0</v>
      </c>
      <c r="AB172" s="115">
        <f>IF('CREST Inputs'!$G$75="as generated",0,IF(AB169&lt;=0,AB166,0))</f>
        <v>0</v>
      </c>
      <c r="AC172" s="115">
        <f>IF('CREST Inputs'!$G$75="as generated",0,IF(AC169&lt;=0,AC166,0))</f>
        <v>0</v>
      </c>
      <c r="AD172" s="115">
        <f>IF('CREST Inputs'!$G$75="as generated",0,IF(AD169&lt;=0,AD166,0))</f>
        <v>0</v>
      </c>
      <c r="AE172" s="115">
        <f>IF('CREST Inputs'!$G$75="as generated",0,IF(AE169&lt;=0,AE166,0))</f>
        <v>0</v>
      </c>
      <c r="AF172" s="115">
        <f>IF('CREST Inputs'!$G$75="as generated",0,IF(AF169&lt;=0,AF166,0))</f>
        <v>0</v>
      </c>
      <c r="AG172" s="115">
        <f>IF('CREST Inputs'!$G$75="as generated",0,IF(AG169&lt;=0,AG166,0))</f>
        <v>0</v>
      </c>
      <c r="AH172" s="115">
        <f>IF('CREST Inputs'!$G$75="as generated",0,IF(AH169&lt;=0,AH166,0))</f>
        <v>0</v>
      </c>
      <c r="AI172" s="115">
        <f>IF('CREST Inputs'!$G$75="as generated",0,IF(AI169&lt;=0,AI166,0))</f>
        <v>0</v>
      </c>
      <c r="AJ172" s="115">
        <f>IF('CREST Inputs'!$G$75="as generated",0,IF(AJ169&lt;=0,AJ166,0))</f>
        <v>0</v>
      </c>
    </row>
    <row r="173" spans="2:36" s="27" customFormat="1" ht="15">
      <c r="B173" s="95" t="s">
        <v>228</v>
      </c>
      <c r="C173" s="95"/>
      <c r="D173" s="95"/>
      <c r="E173" s="95"/>
      <c r="F173" s="110"/>
      <c r="G173" s="115">
        <f>IF('CREST Inputs'!$G$75="as generated",0,IF(G$169&lt;0,MAX(G$169,-G$172),0))</f>
        <v>0</v>
      </c>
      <c r="H173" s="115">
        <f>IF('CREST Inputs'!$G$75="as generated",0,IF(H$169&lt;0,MAX(H$169,-G$174),0))</f>
        <v>0</v>
      </c>
      <c r="I173" s="115">
        <f>IF('CREST Inputs'!$G$75="as generated",0,IF(I$169&lt;0,MAX(I$169,-H$174),0))</f>
        <v>0</v>
      </c>
      <c r="J173" s="115">
        <f>IF('CREST Inputs'!$G$75="as generated",0,IF(J$169&lt;0,MAX(J$169,-I$174),0))</f>
        <v>0</v>
      </c>
      <c r="K173" s="115">
        <f>IF('CREST Inputs'!$G$75="as generated",0,IF(K$169&lt;0,MAX(K$169,-J$174),0))</f>
        <v>0</v>
      </c>
      <c r="L173" s="115">
        <f>IF('CREST Inputs'!$G$75="as generated",0,IF(L$169&lt;0,MAX(L$169,-K$174),0))</f>
        <v>0</v>
      </c>
      <c r="M173" s="115">
        <f>IF('CREST Inputs'!$G$75="as generated",0,IF(M$169&lt;0,MAX(M$169,-L$174),0))</f>
        <v>0</v>
      </c>
      <c r="N173" s="115">
        <f>IF('CREST Inputs'!$G$75="as generated",0,IF(N$169&lt;0,MAX(N$169,-M$174),0))</f>
        <v>0</v>
      </c>
      <c r="O173" s="115">
        <f>IF('CREST Inputs'!$G$75="as generated",0,IF(O$169&lt;0,MAX(O$169,-N$174),0))</f>
        <v>0</v>
      </c>
      <c r="P173" s="115">
        <f>IF('CREST Inputs'!$G$75="as generated",0,IF(P$169&lt;0,MAX(P$169,-O$174),0))</f>
        <v>0</v>
      </c>
      <c r="Q173" s="115">
        <f>IF('CREST Inputs'!$G$75="as generated",0,IF(Q$169&lt;0,MAX(Q$169,-P$174),0))</f>
        <v>0</v>
      </c>
      <c r="R173" s="115">
        <f>IF('CREST Inputs'!$G$75="as generated",0,IF(R$169&lt;0,MAX(R$169,-Q$174),0))</f>
        <v>0</v>
      </c>
      <c r="S173" s="115">
        <f>IF('CREST Inputs'!$G$75="as generated",0,IF(S$169&lt;0,MAX(S$169,-R$174),0))</f>
        <v>0</v>
      </c>
      <c r="T173" s="115">
        <f>IF('CREST Inputs'!$G$75="as generated",0,IF(T$169&lt;0,MAX(T$169,-S$174),0))</f>
        <v>0</v>
      </c>
      <c r="U173" s="115">
        <f>IF('CREST Inputs'!$G$75="as generated",0,IF(U$169&lt;0,MAX(U$169,-T$174),0))</f>
        <v>0</v>
      </c>
      <c r="V173" s="115">
        <f>IF('CREST Inputs'!$G$75="as generated",0,IF(V$169&lt;0,MAX(V$169,-U$174),0))</f>
        <v>0</v>
      </c>
      <c r="W173" s="115">
        <f>IF('CREST Inputs'!$G$75="as generated",0,IF(W$169&lt;0,MAX(W$169,-V$174),0))</f>
        <v>0</v>
      </c>
      <c r="X173" s="115">
        <f>IF('CREST Inputs'!$G$75="as generated",0,IF(X$169&lt;0,MAX(X$169,-W$174),0))</f>
        <v>0</v>
      </c>
      <c r="Y173" s="115">
        <f>IF('CREST Inputs'!$G$75="as generated",0,IF(Y$169&lt;0,MAX(Y$169,-X$174),0))</f>
        <v>0</v>
      </c>
      <c r="Z173" s="115">
        <f>IF('CREST Inputs'!$G$75="as generated",0,IF(Z$169&lt;0,MAX(Z$169,-Y$174),0))</f>
        <v>0</v>
      </c>
      <c r="AA173" s="115">
        <f>IF('CREST Inputs'!$G$75="as generated",0,IF(AA$169&lt;0,MAX(AA$169,-Z$174),0))</f>
        <v>0</v>
      </c>
      <c r="AB173" s="115">
        <f>IF('CREST Inputs'!$G$75="as generated",0,IF(AB$169&lt;0,MAX(AB$169,-AA$174),0))</f>
        <v>0</v>
      </c>
      <c r="AC173" s="115">
        <f>IF('CREST Inputs'!$G$75="as generated",0,IF(AC$169&lt;0,MAX(AC$169,-AB$174),0))</f>
        <v>0</v>
      </c>
      <c r="AD173" s="115">
        <f>IF('CREST Inputs'!$G$75="as generated",0,IF(AD$169&lt;0,MAX(AD$169,-AC$174),0))</f>
        <v>0</v>
      </c>
      <c r="AE173" s="115">
        <f>IF('CREST Inputs'!$G$75="as generated",0,IF(AE$169&lt;0,MAX(AE$169,-AD$174),0))</f>
        <v>0</v>
      </c>
      <c r="AF173" s="115">
        <f>IF('CREST Inputs'!$G$75="as generated",0,IF(AF$169&lt;0,MAX(AF$169,-AE$174),0))</f>
        <v>0</v>
      </c>
      <c r="AG173" s="115">
        <f>IF('CREST Inputs'!$G$75="as generated",0,IF(AG$169&lt;0,MAX(AG$169,-AF$174),0))</f>
        <v>0</v>
      </c>
      <c r="AH173" s="115">
        <f>IF('CREST Inputs'!$G$75="as generated",0,IF(AH$169&lt;0,MAX(AH$169,-AG$174),0))</f>
        <v>0</v>
      </c>
      <c r="AI173" s="115">
        <f>IF('CREST Inputs'!$G$75="as generated",0,IF(AI$169&lt;0,MAX(AI$169,-AH$174),0))</f>
        <v>0</v>
      </c>
      <c r="AJ173" s="115">
        <f>IF('CREST Inputs'!$G$75="as generated",0,IF(AJ$169&lt;0,MAX(AJ$169,-AI$174),0))</f>
        <v>0</v>
      </c>
    </row>
    <row r="174" spans="2:36" s="27" customFormat="1" ht="15">
      <c r="B174" s="95" t="s">
        <v>229</v>
      </c>
      <c r="C174" s="95"/>
      <c r="D174" s="95"/>
      <c r="E174" s="95"/>
      <c r="F174" s="115">
        <v>0</v>
      </c>
      <c r="G174" s="115">
        <f>SUM(G171:G173)</f>
        <v>0</v>
      </c>
      <c r="H174" s="115">
        <f aca="true" t="shared" si="55" ref="H174:AJ174">SUM(H171:H173)</f>
        <v>0</v>
      </c>
      <c r="I174" s="115">
        <f t="shared" si="55"/>
        <v>0</v>
      </c>
      <c r="J174" s="115">
        <f t="shared" si="55"/>
        <v>0</v>
      </c>
      <c r="K174" s="115">
        <f t="shared" si="55"/>
        <v>0</v>
      </c>
      <c r="L174" s="115">
        <f t="shared" si="55"/>
        <v>0</v>
      </c>
      <c r="M174" s="115">
        <f t="shared" si="55"/>
        <v>0</v>
      </c>
      <c r="N174" s="115">
        <f t="shared" si="55"/>
        <v>0</v>
      </c>
      <c r="O174" s="115">
        <f t="shared" si="55"/>
        <v>0</v>
      </c>
      <c r="P174" s="115">
        <f t="shared" si="55"/>
        <v>0</v>
      </c>
      <c r="Q174" s="115">
        <f t="shared" si="55"/>
        <v>0</v>
      </c>
      <c r="R174" s="115">
        <f t="shared" si="55"/>
        <v>0</v>
      </c>
      <c r="S174" s="115">
        <f t="shared" si="55"/>
        <v>0</v>
      </c>
      <c r="T174" s="115">
        <f t="shared" si="55"/>
        <v>0</v>
      </c>
      <c r="U174" s="115">
        <f t="shared" si="55"/>
        <v>0</v>
      </c>
      <c r="V174" s="115">
        <f t="shared" si="55"/>
        <v>0</v>
      </c>
      <c r="W174" s="115">
        <f t="shared" si="55"/>
        <v>0</v>
      </c>
      <c r="X174" s="115">
        <f t="shared" si="55"/>
        <v>0</v>
      </c>
      <c r="Y174" s="115">
        <f t="shared" si="55"/>
        <v>0</v>
      </c>
      <c r="Z174" s="115">
        <f t="shared" si="55"/>
        <v>0</v>
      </c>
      <c r="AA174" s="115">
        <f t="shared" si="55"/>
        <v>0</v>
      </c>
      <c r="AB174" s="115">
        <f t="shared" si="55"/>
        <v>0</v>
      </c>
      <c r="AC174" s="115">
        <f t="shared" si="55"/>
        <v>0</v>
      </c>
      <c r="AD174" s="115">
        <f t="shared" si="55"/>
        <v>0</v>
      </c>
      <c r="AE174" s="115">
        <f t="shared" si="55"/>
        <v>0</v>
      </c>
      <c r="AF174" s="115">
        <f t="shared" si="55"/>
        <v>0</v>
      </c>
      <c r="AG174" s="115">
        <f t="shared" si="55"/>
        <v>0</v>
      </c>
      <c r="AH174" s="115">
        <f t="shared" si="55"/>
        <v>0</v>
      </c>
      <c r="AI174" s="115">
        <f t="shared" si="55"/>
        <v>0</v>
      </c>
      <c r="AJ174" s="115">
        <f t="shared" si="55"/>
        <v>0</v>
      </c>
    </row>
    <row r="175" spans="2:36" s="27" customFormat="1" ht="15">
      <c r="B175" s="95"/>
      <c r="C175" s="95"/>
      <c r="D175" s="95"/>
      <c r="E175" s="95"/>
      <c r="F175" s="110"/>
      <c r="G175" s="110"/>
      <c r="H175" s="121"/>
      <c r="I175" s="95"/>
      <c r="J175" s="95"/>
      <c r="K175" s="95"/>
      <c r="L175" s="95"/>
      <c r="M175" s="95"/>
      <c r="N175" s="95"/>
      <c r="O175" s="95"/>
      <c r="P175" s="95"/>
      <c r="Q175" s="95"/>
      <c r="R175" s="95"/>
      <c r="S175" s="95"/>
      <c r="T175" s="95"/>
      <c r="U175" s="95"/>
      <c r="V175" s="95"/>
      <c r="W175" s="95"/>
      <c r="X175" s="95"/>
      <c r="Y175" s="95"/>
      <c r="Z175" s="95"/>
      <c r="AA175" s="95"/>
      <c r="AB175" s="95"/>
      <c r="AC175" s="95"/>
      <c r="AD175" s="95"/>
      <c r="AE175" s="95"/>
      <c r="AF175" s="95"/>
      <c r="AG175" s="95"/>
      <c r="AH175" s="95"/>
      <c r="AI175" s="95"/>
      <c r="AJ175" s="95"/>
    </row>
    <row r="176" spans="2:36" s="27" customFormat="1" ht="15.75">
      <c r="B176" s="94" t="s">
        <v>196</v>
      </c>
      <c r="C176" s="94"/>
      <c r="D176" s="94"/>
      <c r="E176" s="95"/>
      <c r="F176" s="110"/>
      <c r="G176" s="120"/>
      <c r="H176" s="121"/>
      <c r="I176" s="95"/>
      <c r="J176" s="95"/>
      <c r="K176" s="95"/>
      <c r="L176" s="95"/>
      <c r="M176" s="95"/>
      <c r="N176" s="95"/>
      <c r="O176" s="95"/>
      <c r="P176" s="95"/>
      <c r="Q176" s="95"/>
      <c r="R176" s="95"/>
      <c r="S176" s="95"/>
      <c r="T176" s="95"/>
      <c r="U176" s="95"/>
      <c r="V176" s="95"/>
      <c r="W176" s="95"/>
      <c r="X176" s="95"/>
      <c r="Y176" s="95"/>
      <c r="Z176" s="95"/>
      <c r="AA176" s="95"/>
      <c r="AB176" s="95"/>
      <c r="AC176" s="95"/>
      <c r="AD176" s="95"/>
      <c r="AE176" s="95"/>
      <c r="AF176" s="95"/>
      <c r="AG176" s="95"/>
      <c r="AH176" s="95"/>
      <c r="AI176" s="95"/>
      <c r="AJ176" s="95"/>
    </row>
    <row r="177" spans="2:36" s="27" customFormat="1" ht="15">
      <c r="B177" s="95" t="s">
        <v>193</v>
      </c>
      <c r="C177" s="95"/>
      <c r="D177" s="95"/>
      <c r="E177" s="95"/>
      <c r="F177" s="110"/>
      <c r="G177" s="156">
        <f>IF(OR('CREST Inputs'!$G$73="No",'CREST Inputs'!$Q$33="Performance-Based",'CREST Inputs'!$Q$33="Neither"),0,IF(G$2&lt;='CREST Inputs'!$Q$36,($C$99*('CREST Inputs'!$Q$34*(1-'CREST Inputs'!$G$74))*'CREST Inputs'!$Q$35)/'CREST Inputs'!$Q$36,0))</f>
        <v>0</v>
      </c>
      <c r="H177" s="156">
        <f>IF(OR('CREST Inputs'!$G$73="No",'CREST Inputs'!$Q$33="Performance-Based",'CREST Inputs'!$Q$33="Neither"),0,IF(H$2&lt;='CREST Inputs'!$Q$36,($C$99*('CREST Inputs'!$Q$34*(1-'CREST Inputs'!$G$74))*'CREST Inputs'!$Q$35)/'CREST Inputs'!$Q$36,0))</f>
        <v>0</v>
      </c>
      <c r="I177" s="156">
        <f>IF(OR('CREST Inputs'!$G$73="No",'CREST Inputs'!$Q$33="Performance-Based",'CREST Inputs'!$Q$33="Neither"),0,IF(I$2&lt;='CREST Inputs'!$Q$36,($C$99*('CREST Inputs'!$Q$34*(1-'CREST Inputs'!$G$74))*'CREST Inputs'!$Q$35)/'CREST Inputs'!$Q$36,0))</f>
        <v>0</v>
      </c>
      <c r="J177" s="156">
        <f>IF(OR('CREST Inputs'!$G$73="No",'CREST Inputs'!$Q$33="Performance-Based",'CREST Inputs'!$Q$33="Neither"),0,IF(J$2&lt;='CREST Inputs'!$Q$36,($C$99*('CREST Inputs'!$Q$34*(1-'CREST Inputs'!$G$74))*'CREST Inputs'!$Q$35)/'CREST Inputs'!$Q$36,0))</f>
        <v>0</v>
      </c>
      <c r="K177" s="156">
        <f>IF(OR('CREST Inputs'!$G$73="No",'CREST Inputs'!$Q$33="Performance-Based",'CREST Inputs'!$Q$33="Neither"),0,IF(K$2&lt;='CREST Inputs'!$Q$36,($C$99*('CREST Inputs'!$Q$34*(1-'CREST Inputs'!$G$74))*'CREST Inputs'!$Q$35)/'CREST Inputs'!$Q$36,0))</f>
        <v>0</v>
      </c>
      <c r="L177" s="156">
        <f>IF(OR('CREST Inputs'!$G$73="No",'CREST Inputs'!$Q$33="Performance-Based",'CREST Inputs'!$Q$33="Neither"),0,IF(L$2&lt;='CREST Inputs'!$Q$36,($C$99*('CREST Inputs'!$Q$34*(1-'CREST Inputs'!$G$74))*'CREST Inputs'!$Q$35)/'CREST Inputs'!$Q$36,0))</f>
        <v>0</v>
      </c>
      <c r="M177" s="156">
        <f>IF(OR('CREST Inputs'!$G$73="No",'CREST Inputs'!$Q$33="Performance-Based",'CREST Inputs'!$Q$33="Neither"),0,IF(M$2&lt;='CREST Inputs'!$Q$36,($C$99*('CREST Inputs'!$Q$34*(1-'CREST Inputs'!$G$74))*'CREST Inputs'!$Q$35)/'CREST Inputs'!$Q$36,0))</f>
        <v>0</v>
      </c>
      <c r="N177" s="156">
        <f>IF(OR('CREST Inputs'!$G$73="No",'CREST Inputs'!$Q$33="Performance-Based",'CREST Inputs'!$Q$33="Neither"),0,IF(N$2&lt;='CREST Inputs'!$Q$36,($C$99*('CREST Inputs'!$Q$34*(1-'CREST Inputs'!$G$74))*'CREST Inputs'!$Q$35)/'CREST Inputs'!$Q$36,0))</f>
        <v>0</v>
      </c>
      <c r="O177" s="156">
        <f>IF(OR('CREST Inputs'!$G$73="No",'CREST Inputs'!$Q$33="Performance-Based",'CREST Inputs'!$Q$33="Neither"),0,IF(O$2&lt;='CREST Inputs'!$Q$36,($C$99*('CREST Inputs'!$Q$34*(1-'CREST Inputs'!$G$74))*'CREST Inputs'!$Q$35)/'CREST Inputs'!$Q$36,0))</f>
        <v>0</v>
      </c>
      <c r="P177" s="156">
        <f>IF(OR('CREST Inputs'!$G$73="No",'CREST Inputs'!$Q$33="Performance-Based",'CREST Inputs'!$Q$33="Neither"),0,IF(P$2&lt;='CREST Inputs'!$Q$36,($C$99*('CREST Inputs'!$Q$34*(1-'CREST Inputs'!$G$74))*'CREST Inputs'!$Q$35)/'CREST Inputs'!$Q$36,0))</f>
        <v>0</v>
      </c>
      <c r="Q177" s="156">
        <f>IF(OR('CREST Inputs'!$G$73="No",'CREST Inputs'!$Q$33="Performance-Based",'CREST Inputs'!$Q$33="Neither"),0,IF(Q$2&lt;='CREST Inputs'!$Q$36,($C$99*('CREST Inputs'!$Q$34*(1-'CREST Inputs'!$G$74))*'CREST Inputs'!$Q$35)/'CREST Inputs'!$Q$36,0))</f>
        <v>0</v>
      </c>
      <c r="R177" s="156">
        <f>IF(OR('CREST Inputs'!$G$73="No",'CREST Inputs'!$Q$33="Performance-Based",'CREST Inputs'!$Q$33="Neither"),0,IF(R$2&lt;='CREST Inputs'!$Q$36,($C$99*('CREST Inputs'!$Q$34*(1-'CREST Inputs'!$G$74))*'CREST Inputs'!$Q$35)/'CREST Inputs'!$Q$36,0))</f>
        <v>0</v>
      </c>
      <c r="S177" s="156">
        <f>IF(OR('CREST Inputs'!$G$73="No",'CREST Inputs'!$Q$33="Performance-Based",'CREST Inputs'!$Q$33="Neither"),0,IF(S$2&lt;='CREST Inputs'!$Q$36,($C$99*('CREST Inputs'!$Q$34*(1-'CREST Inputs'!$G$74))*'CREST Inputs'!$Q$35)/'CREST Inputs'!$Q$36,0))</f>
        <v>0</v>
      </c>
      <c r="T177" s="156">
        <f>IF(OR('CREST Inputs'!$G$73="No",'CREST Inputs'!$Q$33="Performance-Based",'CREST Inputs'!$Q$33="Neither"),0,IF(T$2&lt;='CREST Inputs'!$Q$36,($C$99*('CREST Inputs'!$Q$34*(1-'CREST Inputs'!$G$74))*'CREST Inputs'!$Q$35)/'CREST Inputs'!$Q$36,0))</f>
        <v>0</v>
      </c>
      <c r="U177" s="156">
        <f>IF(OR('CREST Inputs'!$G$73="No",'CREST Inputs'!$Q$33="Performance-Based",'CREST Inputs'!$Q$33="Neither"),0,IF(U$2&lt;='CREST Inputs'!$Q$36,($C$99*('CREST Inputs'!$Q$34*(1-'CREST Inputs'!$G$74))*'CREST Inputs'!$Q$35)/'CREST Inputs'!$Q$36,0))</f>
        <v>0</v>
      </c>
      <c r="V177" s="156">
        <f>IF(OR('CREST Inputs'!$G$73="No",'CREST Inputs'!$Q$33="Performance-Based",'CREST Inputs'!$Q$33="Neither"),0,IF(V$2&lt;='CREST Inputs'!$Q$36,($C$99*('CREST Inputs'!$Q$34*(1-'CREST Inputs'!$G$74))*'CREST Inputs'!$Q$35)/'CREST Inputs'!$Q$36,0))</f>
        <v>0</v>
      </c>
      <c r="W177" s="156">
        <f>IF(OR('CREST Inputs'!$G$73="No",'CREST Inputs'!$Q$33="Performance-Based",'CREST Inputs'!$Q$33="Neither"),0,IF(W$2&lt;='CREST Inputs'!$Q$36,($C$99*('CREST Inputs'!$Q$34*(1-'CREST Inputs'!$G$74))*'CREST Inputs'!$Q$35)/'CREST Inputs'!$Q$36,0))</f>
        <v>0</v>
      </c>
      <c r="X177" s="156">
        <f>IF(OR('CREST Inputs'!$G$73="No",'CREST Inputs'!$Q$33="Performance-Based",'CREST Inputs'!$Q$33="Neither"),0,IF(X$2&lt;='CREST Inputs'!$Q$36,($C$99*('CREST Inputs'!$Q$34*(1-'CREST Inputs'!$G$74))*'CREST Inputs'!$Q$35)/'CREST Inputs'!$Q$36,0))</f>
        <v>0</v>
      </c>
      <c r="Y177" s="156">
        <f>IF(OR('CREST Inputs'!$G$73="No",'CREST Inputs'!$Q$33="Performance-Based",'CREST Inputs'!$Q$33="Neither"),0,IF(Y$2&lt;='CREST Inputs'!$Q$36,($C$99*('CREST Inputs'!$Q$34*(1-'CREST Inputs'!$G$74))*'CREST Inputs'!$Q$35)/'CREST Inputs'!$Q$36,0))</f>
        <v>0</v>
      </c>
      <c r="Z177" s="156">
        <f>IF(OR('CREST Inputs'!$G$73="No",'CREST Inputs'!$Q$33="Performance-Based",'CREST Inputs'!$Q$33="Neither"),0,IF(Z$2&lt;='CREST Inputs'!$Q$36,($C$99*('CREST Inputs'!$Q$34*(1-'CREST Inputs'!$G$74))*'CREST Inputs'!$Q$35)/'CREST Inputs'!$Q$36,0))</f>
        <v>0</v>
      </c>
      <c r="AA177" s="156">
        <f>IF(OR('CREST Inputs'!$G$73="No",'CREST Inputs'!$Q$33="Performance-Based",'CREST Inputs'!$Q$33="Neither"),0,IF(AA$2&lt;='CREST Inputs'!$Q$36,($C$99*('CREST Inputs'!$Q$34*(1-'CREST Inputs'!$G$74))*'CREST Inputs'!$Q$35)/'CREST Inputs'!$Q$36,0))</f>
        <v>0</v>
      </c>
      <c r="AB177" s="156">
        <f>IF(OR('CREST Inputs'!$G$73="No",'CREST Inputs'!$Q$33="Performance-Based",'CREST Inputs'!$Q$33="Neither"),0,IF(AB$2&lt;='CREST Inputs'!$Q$36,($C$99*('CREST Inputs'!$Q$34*(1-'CREST Inputs'!$G$74))*'CREST Inputs'!$Q$35)/'CREST Inputs'!$Q$36,0))</f>
        <v>0</v>
      </c>
      <c r="AC177" s="156">
        <f>IF(OR('CREST Inputs'!$G$73="No",'CREST Inputs'!$Q$33="Performance-Based",'CREST Inputs'!$Q$33="Neither"),0,IF(AC$2&lt;='CREST Inputs'!$Q$36,($C$99*('CREST Inputs'!$Q$34*(1-'CREST Inputs'!$G$74))*'CREST Inputs'!$Q$35)/'CREST Inputs'!$Q$36,0))</f>
        <v>0</v>
      </c>
      <c r="AD177" s="156">
        <f>IF(OR('CREST Inputs'!$G$73="No",'CREST Inputs'!$Q$33="Performance-Based",'CREST Inputs'!$Q$33="Neither"),0,IF(AD$2&lt;='CREST Inputs'!$Q$36,($C$99*('CREST Inputs'!$Q$34*(1-'CREST Inputs'!$G$74))*'CREST Inputs'!$Q$35)/'CREST Inputs'!$Q$36,0))</f>
        <v>0</v>
      </c>
      <c r="AE177" s="156">
        <f>IF(OR('CREST Inputs'!$G$73="No",'CREST Inputs'!$Q$33="Performance-Based",'CREST Inputs'!$Q$33="Neither"),0,IF(AE$2&lt;='CREST Inputs'!$Q$36,($C$99*('CREST Inputs'!$Q$34*(1-'CREST Inputs'!$G$74))*'CREST Inputs'!$Q$35)/'CREST Inputs'!$Q$36,0))</f>
        <v>0</v>
      </c>
      <c r="AF177" s="156">
        <f>IF(OR('CREST Inputs'!$G$73="No",'CREST Inputs'!$Q$33="Performance-Based",'CREST Inputs'!$Q$33="Neither"),0,IF(AF$2&lt;='CREST Inputs'!$Q$36,($C$99*('CREST Inputs'!$Q$34*(1-'CREST Inputs'!$G$74))*'CREST Inputs'!$Q$35)/'CREST Inputs'!$Q$36,0))</f>
        <v>0</v>
      </c>
      <c r="AG177" s="156">
        <f>IF(OR('CREST Inputs'!$G$73="No",'CREST Inputs'!$Q$33="Performance-Based",'CREST Inputs'!$Q$33="Neither"),0,IF(AG$2&lt;='CREST Inputs'!$Q$36,($C$99*('CREST Inputs'!$Q$34*(1-'CREST Inputs'!$G$74))*'CREST Inputs'!$Q$35)/'CREST Inputs'!$Q$36,0))</f>
        <v>0</v>
      </c>
      <c r="AH177" s="156">
        <f>IF(OR('CREST Inputs'!$G$73="No",'CREST Inputs'!$Q$33="Performance-Based",'CREST Inputs'!$Q$33="Neither"),0,IF(AH$2&lt;='CREST Inputs'!$Q$36,($C$99*('CREST Inputs'!$Q$34*(1-'CREST Inputs'!$G$74))*'CREST Inputs'!$Q$35)/'CREST Inputs'!$Q$36,0))</f>
        <v>0</v>
      </c>
      <c r="AI177" s="156">
        <f>IF(OR('CREST Inputs'!$G$73="No",'CREST Inputs'!$Q$33="Performance-Based",'CREST Inputs'!$Q$33="Neither"),0,IF(AI$2&lt;='CREST Inputs'!$Q$36,($C$99*('CREST Inputs'!$Q$34*(1-'CREST Inputs'!$G$74))*'CREST Inputs'!$Q$35)/'CREST Inputs'!$Q$36,0))</f>
        <v>0</v>
      </c>
      <c r="AJ177" s="156">
        <f>IF(OR('CREST Inputs'!$G$73="No",'CREST Inputs'!$Q$33="Performance-Based",'CREST Inputs'!$Q$33="Neither"),0,IF(AJ$2&lt;='CREST Inputs'!$Q$36,($C$99*('CREST Inputs'!$Q$34*(1-'CREST Inputs'!$G$74))*'CREST Inputs'!$Q$35)/'CREST Inputs'!$Q$36,0))</f>
        <v>0</v>
      </c>
    </row>
    <row r="178" spans="2:36" s="27" customFormat="1" ht="15">
      <c r="B178" s="95" t="s">
        <v>165</v>
      </c>
      <c r="C178" s="95"/>
      <c r="D178" s="95"/>
      <c r="E178" s="95"/>
      <c r="F178" s="110"/>
      <c r="G178" s="115">
        <f>IF(OR('CREST Inputs'!$G$73="No",'CREST Inputs'!$Q$33="Cost-Based",'CREST Inputs'!$Q$33="Neither"),0,IF('CREST Inputs'!$Q$38="Tax Credit",IF(G$2&gt;'CREST Inputs'!$Q$43,0,IF('CREST Inputs'!$Q$39=0,'CREST Inputs'!$Q$41/100*G$10*'CREST Inputs'!$Q$42*G$5,MIN('CREST Inputs'!$Q$39,'CREST Inputs'!$Q$41/100*G$10*'CREST Inputs'!$Q$42*G$5))),0))</f>
        <v>0</v>
      </c>
      <c r="H178" s="115">
        <f>IF(OR('CREST Inputs'!$G$73="No",'CREST Inputs'!$Q$33="Cost-Based",'CREST Inputs'!$Q$33="Neither"),0,IF('CREST Inputs'!$Q$38="Tax Credit",IF(H$2&gt;'CREST Inputs'!$Q$43,0,IF('CREST Inputs'!$Q$39=0,'CREST Inputs'!$Q$41/100*H$10*'CREST Inputs'!$Q$42*H$5,MIN('CREST Inputs'!$Q$39,'CREST Inputs'!$Q$41/100*H$10*'CREST Inputs'!$Q$42*H$5))),0))</f>
        <v>0</v>
      </c>
      <c r="I178" s="115">
        <f>IF(OR('CREST Inputs'!$G$73="No",'CREST Inputs'!$Q$33="Cost-Based",'CREST Inputs'!$Q$33="Neither"),0,IF('CREST Inputs'!$Q$38="Tax Credit",IF(I$2&gt;'CREST Inputs'!$Q$43,0,IF('CREST Inputs'!$Q$39=0,'CREST Inputs'!$Q$41/100*I$10*'CREST Inputs'!$Q$42*I$5,MIN('CREST Inputs'!$Q$39,'CREST Inputs'!$Q$41/100*I$10*'CREST Inputs'!$Q$42*I$5))),0))</f>
        <v>0</v>
      </c>
      <c r="J178" s="115">
        <f>IF(OR('CREST Inputs'!$G$73="No",'CREST Inputs'!$Q$33="Cost-Based",'CREST Inputs'!$Q$33="Neither"),0,IF('CREST Inputs'!$Q$38="Tax Credit",IF(J$2&gt;'CREST Inputs'!$Q$43,0,IF('CREST Inputs'!$Q$39=0,'CREST Inputs'!$Q$41/100*J$10*'CREST Inputs'!$Q$42*J$5,MIN('CREST Inputs'!$Q$39,'CREST Inputs'!$Q$41/100*J$10*'CREST Inputs'!$Q$42*J$5))),0))</f>
        <v>0</v>
      </c>
      <c r="K178" s="115">
        <f>IF(OR('CREST Inputs'!$G$73="No",'CREST Inputs'!$Q$33="Cost-Based",'CREST Inputs'!$Q$33="Neither"),0,IF('CREST Inputs'!$Q$38="Tax Credit",IF(K$2&gt;'CREST Inputs'!$Q$43,0,IF('CREST Inputs'!$Q$39=0,'CREST Inputs'!$Q$41/100*K$10*'CREST Inputs'!$Q$42*K$5,MIN('CREST Inputs'!$Q$39,'CREST Inputs'!$Q$41/100*K$10*'CREST Inputs'!$Q$42*K$5))),0))</f>
        <v>0</v>
      </c>
      <c r="L178" s="115">
        <f>IF(OR('CREST Inputs'!$G$73="No",'CREST Inputs'!$Q$33="Cost-Based",'CREST Inputs'!$Q$33="Neither"),0,IF('CREST Inputs'!$Q$38="Tax Credit",IF(L$2&gt;'CREST Inputs'!$Q$43,0,IF('CREST Inputs'!$Q$39=0,'CREST Inputs'!$Q$41/100*L$10*'CREST Inputs'!$Q$42*L$5,MIN('CREST Inputs'!$Q$39,'CREST Inputs'!$Q$41/100*L$10*'CREST Inputs'!$Q$42*L$5))),0))</f>
        <v>0</v>
      </c>
      <c r="M178" s="115">
        <f>IF(OR('CREST Inputs'!$G$73="No",'CREST Inputs'!$Q$33="Cost-Based",'CREST Inputs'!$Q$33="Neither"),0,IF('CREST Inputs'!$Q$38="Tax Credit",IF(M$2&gt;'CREST Inputs'!$Q$43,0,IF('CREST Inputs'!$Q$39=0,'CREST Inputs'!$Q$41/100*M$10*'CREST Inputs'!$Q$42*M$5,MIN('CREST Inputs'!$Q$39,'CREST Inputs'!$Q$41/100*M$10*'CREST Inputs'!$Q$42*M$5))),0))</f>
        <v>0</v>
      </c>
      <c r="N178" s="115">
        <f>IF(OR('CREST Inputs'!$G$73="No",'CREST Inputs'!$Q$33="Cost-Based",'CREST Inputs'!$Q$33="Neither"),0,IF('CREST Inputs'!$Q$38="Tax Credit",IF(N$2&gt;'CREST Inputs'!$Q$43,0,IF('CREST Inputs'!$Q$39=0,'CREST Inputs'!$Q$41/100*N$10*'CREST Inputs'!$Q$42*N$5,MIN('CREST Inputs'!$Q$39,'CREST Inputs'!$Q$41/100*N$10*'CREST Inputs'!$Q$42*N$5))),0))</f>
        <v>0</v>
      </c>
      <c r="O178" s="115">
        <f>IF(OR('CREST Inputs'!$G$73="No",'CREST Inputs'!$Q$33="Cost-Based",'CREST Inputs'!$Q$33="Neither"),0,IF('CREST Inputs'!$Q$38="Tax Credit",IF(O$2&gt;'CREST Inputs'!$Q$43,0,IF('CREST Inputs'!$Q$39=0,'CREST Inputs'!$Q$41/100*O$10*'CREST Inputs'!$Q$42*O$5,MIN('CREST Inputs'!$Q$39,'CREST Inputs'!$Q$41/100*O$10*'CREST Inputs'!$Q$42*O$5))),0))</f>
        <v>0</v>
      </c>
      <c r="P178" s="115">
        <f>IF(OR('CREST Inputs'!$G$73="No",'CREST Inputs'!$Q$33="Cost-Based",'CREST Inputs'!$Q$33="Neither"),0,IF('CREST Inputs'!$Q$38="Tax Credit",IF(P$2&gt;'CREST Inputs'!$Q$43,0,IF('CREST Inputs'!$Q$39=0,'CREST Inputs'!$Q$41/100*P$10*'CREST Inputs'!$Q$42*P$5,MIN('CREST Inputs'!$Q$39,'CREST Inputs'!$Q$41/100*P$10*'CREST Inputs'!$Q$42*P$5))),0))</f>
        <v>0</v>
      </c>
      <c r="Q178" s="115">
        <f>IF(OR('CREST Inputs'!$G$73="No",'CREST Inputs'!$Q$33="Cost-Based",'CREST Inputs'!$Q$33="Neither"),0,IF('CREST Inputs'!$Q$38="Tax Credit",IF(Q$2&gt;'CREST Inputs'!$Q$43,0,IF('CREST Inputs'!$Q$39=0,'CREST Inputs'!$Q$41/100*Q$10*'CREST Inputs'!$Q$42*Q$5,MIN('CREST Inputs'!$Q$39,'CREST Inputs'!$Q$41/100*Q$10*'CREST Inputs'!$Q$42*Q$5))),0))</f>
        <v>0</v>
      </c>
      <c r="R178" s="115">
        <f>IF(OR('CREST Inputs'!$G$73="No",'CREST Inputs'!$Q$33="Cost-Based",'CREST Inputs'!$Q$33="Neither"),0,IF('CREST Inputs'!$Q$38="Tax Credit",IF(R$2&gt;'CREST Inputs'!$Q$43,0,IF('CREST Inputs'!$Q$39=0,'CREST Inputs'!$Q$41/100*R$10*'CREST Inputs'!$Q$42*R$5,MIN('CREST Inputs'!$Q$39,'CREST Inputs'!$Q$41/100*R$10*'CREST Inputs'!$Q$42*R$5))),0))</f>
        <v>0</v>
      </c>
      <c r="S178" s="115">
        <f>IF(OR('CREST Inputs'!$G$73="No",'CREST Inputs'!$Q$33="Cost-Based",'CREST Inputs'!$Q$33="Neither"),0,IF('CREST Inputs'!$Q$38="Tax Credit",IF(S$2&gt;'CREST Inputs'!$Q$43,0,IF('CREST Inputs'!$Q$39=0,'CREST Inputs'!$Q$41/100*S$10*'CREST Inputs'!$Q$42*S$5,MIN('CREST Inputs'!$Q$39,'CREST Inputs'!$Q$41/100*S$10*'CREST Inputs'!$Q$42*S$5))),0))</f>
        <v>0</v>
      </c>
      <c r="T178" s="115">
        <f>IF(OR('CREST Inputs'!$G$73="No",'CREST Inputs'!$Q$33="Cost-Based",'CREST Inputs'!$Q$33="Neither"),0,IF('CREST Inputs'!$Q$38="Tax Credit",IF(T$2&gt;'CREST Inputs'!$Q$43,0,IF('CREST Inputs'!$Q$39=0,'CREST Inputs'!$Q$41/100*T$10*'CREST Inputs'!$Q$42*T$5,MIN('CREST Inputs'!$Q$39,'CREST Inputs'!$Q$41/100*T$10*'CREST Inputs'!$Q$42*T$5))),0))</f>
        <v>0</v>
      </c>
      <c r="U178" s="115">
        <f>IF(OR('CREST Inputs'!$G$73="No",'CREST Inputs'!$Q$33="Cost-Based",'CREST Inputs'!$Q$33="Neither"),0,IF('CREST Inputs'!$Q$38="Tax Credit",IF(U$2&gt;'CREST Inputs'!$Q$43,0,IF('CREST Inputs'!$Q$39=0,'CREST Inputs'!$Q$41/100*U$10*'CREST Inputs'!$Q$42*U$5,MIN('CREST Inputs'!$Q$39,'CREST Inputs'!$Q$41/100*U$10*'CREST Inputs'!$Q$42*U$5))),0))</f>
        <v>0</v>
      </c>
      <c r="V178" s="115">
        <f>IF(OR('CREST Inputs'!$G$73="No",'CREST Inputs'!$Q$33="Cost-Based",'CREST Inputs'!$Q$33="Neither"),0,IF('CREST Inputs'!$Q$38="Tax Credit",IF(V$2&gt;'CREST Inputs'!$Q$43,0,IF('CREST Inputs'!$Q$39=0,'CREST Inputs'!$Q$41/100*V$10*'CREST Inputs'!$Q$42*V$5,MIN('CREST Inputs'!$Q$39,'CREST Inputs'!$Q$41/100*V$10*'CREST Inputs'!$Q$42*V$5))),0))</f>
        <v>0</v>
      </c>
      <c r="W178" s="115">
        <f>IF(OR('CREST Inputs'!$G$73="No",'CREST Inputs'!$Q$33="Cost-Based",'CREST Inputs'!$Q$33="Neither"),0,IF('CREST Inputs'!$Q$38="Tax Credit",IF(W$2&gt;'CREST Inputs'!$Q$43,0,IF('CREST Inputs'!$Q$39=0,'CREST Inputs'!$Q$41/100*W$10*'CREST Inputs'!$Q$42*W$5,MIN('CREST Inputs'!$Q$39,'CREST Inputs'!$Q$41/100*W$10*'CREST Inputs'!$Q$42*W$5))),0))</f>
        <v>0</v>
      </c>
      <c r="X178" s="115">
        <f>IF(OR('CREST Inputs'!$G$73="No",'CREST Inputs'!$Q$33="Cost-Based",'CREST Inputs'!$Q$33="Neither"),0,IF('CREST Inputs'!$Q$38="Tax Credit",IF(X$2&gt;'CREST Inputs'!$Q$43,0,IF('CREST Inputs'!$Q$39=0,'CREST Inputs'!$Q$41/100*X$10*'CREST Inputs'!$Q$42*X$5,MIN('CREST Inputs'!$Q$39,'CREST Inputs'!$Q$41/100*X$10*'CREST Inputs'!$Q$42*X$5))),0))</f>
        <v>0</v>
      </c>
      <c r="Y178" s="115">
        <f>IF(OR('CREST Inputs'!$G$73="No",'CREST Inputs'!$Q$33="Cost-Based",'CREST Inputs'!$Q$33="Neither"),0,IF('CREST Inputs'!$Q$38="Tax Credit",IF(Y$2&gt;'CREST Inputs'!$Q$43,0,IF('CREST Inputs'!$Q$39=0,'CREST Inputs'!$Q$41/100*Y$10*'CREST Inputs'!$Q$42*Y$5,MIN('CREST Inputs'!$Q$39,'CREST Inputs'!$Q$41/100*Y$10*'CREST Inputs'!$Q$42*Y$5))),0))</f>
        <v>0</v>
      </c>
      <c r="Z178" s="115">
        <f>IF(OR('CREST Inputs'!$G$73="No",'CREST Inputs'!$Q$33="Cost-Based",'CREST Inputs'!$Q$33="Neither"),0,IF('CREST Inputs'!$Q$38="Tax Credit",IF(Z$2&gt;'CREST Inputs'!$Q$43,0,IF('CREST Inputs'!$Q$39=0,'CREST Inputs'!$Q$41/100*Z$10*'CREST Inputs'!$Q$42*Z$5,MIN('CREST Inputs'!$Q$39,'CREST Inputs'!$Q$41/100*Z$10*'CREST Inputs'!$Q$42*Z$5))),0))</f>
        <v>0</v>
      </c>
      <c r="AA178" s="115">
        <f>IF(OR('CREST Inputs'!$G$73="No",'CREST Inputs'!$Q$33="Cost-Based",'CREST Inputs'!$Q$33="Neither"),0,IF('CREST Inputs'!$Q$38="Tax Credit",IF(AA$2&gt;'CREST Inputs'!$Q$43,0,IF('CREST Inputs'!$Q$39=0,'CREST Inputs'!$Q$41/100*AA$10*'CREST Inputs'!$Q$42*AA$5,MIN('CREST Inputs'!$Q$39,'CREST Inputs'!$Q$41/100*AA$10*'CREST Inputs'!$Q$42*AA$5))),0))</f>
        <v>0</v>
      </c>
      <c r="AB178" s="115">
        <f>IF(OR('CREST Inputs'!$G$73="No",'CREST Inputs'!$Q$33="Cost-Based",'CREST Inputs'!$Q$33="Neither"),0,IF('CREST Inputs'!$Q$38="Tax Credit",IF(AB$2&gt;'CREST Inputs'!$Q$43,0,IF('CREST Inputs'!$Q$39=0,'CREST Inputs'!$Q$41/100*AB$10*'CREST Inputs'!$Q$42*AB$5,MIN('CREST Inputs'!$Q$39,'CREST Inputs'!$Q$41/100*AB$10*'CREST Inputs'!$Q$42*AB$5))),0))</f>
        <v>0</v>
      </c>
      <c r="AC178" s="115">
        <f>IF(OR('CREST Inputs'!$G$73="No",'CREST Inputs'!$Q$33="Cost-Based",'CREST Inputs'!$Q$33="Neither"),0,IF('CREST Inputs'!$Q$38="Tax Credit",IF(AC$2&gt;'CREST Inputs'!$Q$43,0,IF('CREST Inputs'!$Q$39=0,'CREST Inputs'!$Q$41/100*AC$10*'CREST Inputs'!$Q$42*AC$5,MIN('CREST Inputs'!$Q$39,'CREST Inputs'!$Q$41/100*AC$10*'CREST Inputs'!$Q$42*AC$5))),0))</f>
        <v>0</v>
      </c>
      <c r="AD178" s="115">
        <f>IF(OR('CREST Inputs'!$G$73="No",'CREST Inputs'!$Q$33="Cost-Based",'CREST Inputs'!$Q$33="Neither"),0,IF('CREST Inputs'!$Q$38="Tax Credit",IF(AD$2&gt;'CREST Inputs'!$Q$43,0,IF('CREST Inputs'!$Q$39=0,'CREST Inputs'!$Q$41/100*AD$10*'CREST Inputs'!$Q$42*AD$5,MIN('CREST Inputs'!$Q$39,'CREST Inputs'!$Q$41/100*AD$10*'CREST Inputs'!$Q$42*AD$5))),0))</f>
        <v>0</v>
      </c>
      <c r="AE178" s="115">
        <f>IF(OR('CREST Inputs'!$G$73="No",'CREST Inputs'!$Q$33="Cost-Based",'CREST Inputs'!$Q$33="Neither"),0,IF('CREST Inputs'!$Q$38="Tax Credit",IF(AE$2&gt;'CREST Inputs'!$Q$43,0,IF('CREST Inputs'!$Q$39=0,'CREST Inputs'!$Q$41/100*AE$10*'CREST Inputs'!$Q$42*AE$5,MIN('CREST Inputs'!$Q$39,'CREST Inputs'!$Q$41/100*AE$10*'CREST Inputs'!$Q$42*AE$5))),0))</f>
        <v>0</v>
      </c>
      <c r="AF178" s="115">
        <f>IF(OR('CREST Inputs'!$G$73="No",'CREST Inputs'!$Q$33="Cost-Based",'CREST Inputs'!$Q$33="Neither"),0,IF('CREST Inputs'!$Q$38="Tax Credit",IF(AF$2&gt;'CREST Inputs'!$Q$43,0,IF('CREST Inputs'!$Q$39=0,'CREST Inputs'!$Q$41/100*AF$10*'CREST Inputs'!$Q$42*AF$5,MIN('CREST Inputs'!$Q$39,'CREST Inputs'!$Q$41/100*AF$10*'CREST Inputs'!$Q$42*AF$5))),0))</f>
        <v>0</v>
      </c>
      <c r="AG178" s="115">
        <f>IF(OR('CREST Inputs'!$G$73="No",'CREST Inputs'!$Q$33="Cost-Based",'CREST Inputs'!$Q$33="Neither"),0,IF('CREST Inputs'!$Q$38="Tax Credit",IF(AG$2&gt;'CREST Inputs'!$Q$43,0,IF('CREST Inputs'!$Q$39=0,'CREST Inputs'!$Q$41/100*AG$10*'CREST Inputs'!$Q$42*AG$5,MIN('CREST Inputs'!$Q$39,'CREST Inputs'!$Q$41/100*AG$10*'CREST Inputs'!$Q$42*AG$5))),0))</f>
        <v>0</v>
      </c>
      <c r="AH178" s="115">
        <f>IF(OR('CREST Inputs'!$G$73="No",'CREST Inputs'!$Q$33="Cost-Based",'CREST Inputs'!$Q$33="Neither"),0,IF('CREST Inputs'!$Q$38="Tax Credit",IF(AH$2&gt;'CREST Inputs'!$Q$43,0,IF('CREST Inputs'!$Q$39=0,'CREST Inputs'!$Q$41/100*AH$10*'CREST Inputs'!$Q$42*AH$5,MIN('CREST Inputs'!$Q$39,'CREST Inputs'!$Q$41/100*AH$10*'CREST Inputs'!$Q$42*AH$5))),0))</f>
        <v>0</v>
      </c>
      <c r="AI178" s="115">
        <f>IF(OR('CREST Inputs'!$G$73="No",'CREST Inputs'!$Q$33="Cost-Based",'CREST Inputs'!$Q$33="Neither"),0,IF('CREST Inputs'!$Q$38="Tax Credit",IF(AI$2&gt;'CREST Inputs'!$Q$43,0,IF('CREST Inputs'!$Q$39=0,'CREST Inputs'!$Q$41/100*AI$10*'CREST Inputs'!$Q$42*AI$5,MIN('CREST Inputs'!$Q$39,'CREST Inputs'!$Q$41/100*AI$10*'CREST Inputs'!$Q$42*AI$5))),0))</f>
        <v>0</v>
      </c>
      <c r="AJ178" s="115">
        <f>IF(OR('CREST Inputs'!$G$73="No",'CREST Inputs'!$Q$33="Cost-Based",'CREST Inputs'!$Q$33="Neither"),0,IF('CREST Inputs'!$Q$38="Tax Credit",IF(AJ$2&gt;'CREST Inputs'!$Q$43,0,IF('CREST Inputs'!$Q$39=0,'CREST Inputs'!$Q$41/100*AJ$10*'CREST Inputs'!$Q$42*AJ$5,MIN('CREST Inputs'!$Q$39,'CREST Inputs'!$Q$41/100*AJ$10*'CREST Inputs'!$Q$42*AJ$5))),0))</f>
        <v>0</v>
      </c>
    </row>
    <row r="179" spans="2:36" s="27" customFormat="1" ht="15.75">
      <c r="B179" s="95"/>
      <c r="C179" s="95"/>
      <c r="D179" s="95"/>
      <c r="E179" s="95"/>
      <c r="F179" s="110"/>
      <c r="G179" s="120"/>
      <c r="H179" s="121"/>
      <c r="I179" s="95"/>
      <c r="J179" s="95"/>
      <c r="K179" s="95"/>
      <c r="L179" s="95"/>
      <c r="M179" s="95"/>
      <c r="N179" s="95"/>
      <c r="O179" s="95"/>
      <c r="P179" s="95"/>
      <c r="Q179" s="95"/>
      <c r="R179" s="95"/>
      <c r="S179" s="95"/>
      <c r="T179" s="95"/>
      <c r="U179" s="95"/>
      <c r="V179" s="95"/>
      <c r="W179" s="95"/>
      <c r="X179" s="95"/>
      <c r="Y179" s="95"/>
      <c r="Z179" s="95"/>
      <c r="AA179" s="95"/>
      <c r="AB179" s="95"/>
      <c r="AC179" s="95"/>
      <c r="AD179" s="95"/>
      <c r="AE179" s="95"/>
      <c r="AF179" s="95"/>
      <c r="AG179" s="95"/>
      <c r="AH179" s="95"/>
      <c r="AI179" s="95"/>
      <c r="AJ179" s="95"/>
    </row>
    <row r="180" spans="2:36" s="27" customFormat="1" ht="15">
      <c r="B180" s="95" t="s">
        <v>194</v>
      </c>
      <c r="C180" s="95"/>
      <c r="D180" s="95"/>
      <c r="E180" s="95"/>
      <c r="F180" s="110"/>
      <c r="G180" s="115">
        <f>SUM(G177:G178)</f>
        <v>0</v>
      </c>
      <c r="H180" s="115">
        <f aca="true" t="shared" si="56" ref="H180:AJ180">SUM(H177:H178)</f>
        <v>0</v>
      </c>
      <c r="I180" s="115">
        <f t="shared" si="56"/>
        <v>0</v>
      </c>
      <c r="J180" s="115">
        <f t="shared" si="56"/>
        <v>0</v>
      </c>
      <c r="K180" s="115">
        <f t="shared" si="56"/>
        <v>0</v>
      </c>
      <c r="L180" s="115">
        <f t="shared" si="56"/>
        <v>0</v>
      </c>
      <c r="M180" s="115">
        <f t="shared" si="56"/>
        <v>0</v>
      </c>
      <c r="N180" s="115">
        <f t="shared" si="56"/>
        <v>0</v>
      </c>
      <c r="O180" s="115">
        <f t="shared" si="56"/>
        <v>0</v>
      </c>
      <c r="P180" s="115">
        <f t="shared" si="56"/>
        <v>0</v>
      </c>
      <c r="Q180" s="115">
        <f t="shared" si="56"/>
        <v>0</v>
      </c>
      <c r="R180" s="115">
        <f t="shared" si="56"/>
        <v>0</v>
      </c>
      <c r="S180" s="115">
        <f t="shared" si="56"/>
        <v>0</v>
      </c>
      <c r="T180" s="115">
        <f t="shared" si="56"/>
        <v>0</v>
      </c>
      <c r="U180" s="115">
        <f t="shared" si="56"/>
        <v>0</v>
      </c>
      <c r="V180" s="115">
        <f t="shared" si="56"/>
        <v>0</v>
      </c>
      <c r="W180" s="115">
        <f t="shared" si="56"/>
        <v>0</v>
      </c>
      <c r="X180" s="115">
        <f t="shared" si="56"/>
        <v>0</v>
      </c>
      <c r="Y180" s="115">
        <f t="shared" si="56"/>
        <v>0</v>
      </c>
      <c r="Z180" s="115">
        <f t="shared" si="56"/>
        <v>0</v>
      </c>
      <c r="AA180" s="115">
        <f t="shared" si="56"/>
        <v>0</v>
      </c>
      <c r="AB180" s="115">
        <f t="shared" si="56"/>
        <v>0</v>
      </c>
      <c r="AC180" s="115">
        <f t="shared" si="56"/>
        <v>0</v>
      </c>
      <c r="AD180" s="115">
        <f t="shared" si="56"/>
        <v>0</v>
      </c>
      <c r="AE180" s="115">
        <f t="shared" si="56"/>
        <v>0</v>
      </c>
      <c r="AF180" s="115">
        <f t="shared" si="56"/>
        <v>0</v>
      </c>
      <c r="AG180" s="115">
        <f t="shared" si="56"/>
        <v>0</v>
      </c>
      <c r="AH180" s="115">
        <f t="shared" si="56"/>
        <v>0</v>
      </c>
      <c r="AI180" s="115">
        <f t="shared" si="56"/>
        <v>0</v>
      </c>
      <c r="AJ180" s="115">
        <f t="shared" si="56"/>
        <v>0</v>
      </c>
    </row>
    <row r="181" spans="2:36" s="27" customFormat="1" ht="15">
      <c r="B181" s="95"/>
      <c r="C181" s="95"/>
      <c r="D181" s="95"/>
      <c r="E181" s="95"/>
      <c r="F181" s="110"/>
      <c r="G181" s="115"/>
      <c r="H181" s="115"/>
      <c r="I181" s="115"/>
      <c r="J181" s="115"/>
      <c r="K181" s="115"/>
      <c r="L181" s="115"/>
      <c r="M181" s="115"/>
      <c r="N181" s="115"/>
      <c r="O181" s="115"/>
      <c r="P181" s="115"/>
      <c r="Q181" s="115"/>
      <c r="R181" s="115"/>
      <c r="S181" s="115"/>
      <c r="T181" s="115"/>
      <c r="U181" s="115"/>
      <c r="V181" s="115"/>
      <c r="W181" s="115"/>
      <c r="X181" s="115"/>
      <c r="Y181" s="115"/>
      <c r="Z181" s="115"/>
      <c r="AA181" s="115"/>
      <c r="AB181" s="115"/>
      <c r="AC181" s="115"/>
      <c r="AD181" s="115"/>
      <c r="AE181" s="115"/>
      <c r="AF181" s="115"/>
      <c r="AG181" s="115"/>
      <c r="AH181" s="115"/>
      <c r="AI181" s="115"/>
      <c r="AJ181" s="115"/>
    </row>
    <row r="182" spans="2:36" s="27" customFormat="1" ht="15">
      <c r="B182" s="157" t="s">
        <v>195</v>
      </c>
      <c r="C182" s="157"/>
      <c r="D182" s="157"/>
      <c r="E182" s="95"/>
      <c r="F182" s="110"/>
      <c r="G182" s="115"/>
      <c r="H182" s="115"/>
      <c r="I182" s="115"/>
      <c r="J182" s="115"/>
      <c r="K182" s="115"/>
      <c r="L182" s="115"/>
      <c r="M182" s="115"/>
      <c r="N182" s="115"/>
      <c r="O182" s="115"/>
      <c r="P182" s="115"/>
      <c r="Q182" s="115"/>
      <c r="R182" s="115"/>
      <c r="S182" s="115"/>
      <c r="T182" s="115"/>
      <c r="U182" s="115"/>
      <c r="V182" s="115"/>
      <c r="W182" s="115"/>
      <c r="X182" s="115"/>
      <c r="Y182" s="115"/>
      <c r="Z182" s="115"/>
      <c r="AA182" s="115"/>
      <c r="AB182" s="115"/>
      <c r="AC182" s="115"/>
      <c r="AD182" s="115"/>
      <c r="AE182" s="115"/>
      <c r="AF182" s="115"/>
      <c r="AG182" s="115"/>
      <c r="AH182" s="115"/>
      <c r="AI182" s="115"/>
      <c r="AJ182" s="115"/>
    </row>
    <row r="183" spans="2:36" s="27" customFormat="1" ht="15">
      <c r="B183" s="95" t="str">
        <f>B64</f>
        <v>State Income Taxes Saved / (Paid), before ITC/PTC</v>
      </c>
      <c r="C183" s="95"/>
      <c r="D183" s="95"/>
      <c r="E183" s="95"/>
      <c r="F183" s="110"/>
      <c r="G183" s="115" t="str">
        <f>IF('CREST Inputs'!$G$77="as generated","N/A",'Cash Flow'!G64)</f>
        <v>N/A</v>
      </c>
      <c r="H183" s="115" t="str">
        <f>IF('CREST Inputs'!$G$77="as generated","N/A",'Cash Flow'!H64)</f>
        <v>N/A</v>
      </c>
      <c r="I183" s="115" t="str">
        <f>IF('CREST Inputs'!$G$77="as generated","N/A",'Cash Flow'!I64)</f>
        <v>N/A</v>
      </c>
      <c r="J183" s="115" t="str">
        <f>IF('CREST Inputs'!$G$77="as generated","N/A",'Cash Flow'!J64)</f>
        <v>N/A</v>
      </c>
      <c r="K183" s="115" t="str">
        <f>IF('CREST Inputs'!$G$77="as generated","N/A",'Cash Flow'!K64)</f>
        <v>N/A</v>
      </c>
      <c r="L183" s="115" t="str">
        <f>IF('CREST Inputs'!$G$77="as generated","N/A",'Cash Flow'!L64)</f>
        <v>N/A</v>
      </c>
      <c r="M183" s="115" t="str">
        <f>IF('CREST Inputs'!$G$77="as generated","N/A",'Cash Flow'!M64)</f>
        <v>N/A</v>
      </c>
      <c r="N183" s="115" t="str">
        <f>IF('CREST Inputs'!$G$77="as generated","N/A",'Cash Flow'!N64)</f>
        <v>N/A</v>
      </c>
      <c r="O183" s="115" t="str">
        <f>IF('CREST Inputs'!$G$77="as generated","N/A",'Cash Flow'!O64)</f>
        <v>N/A</v>
      </c>
      <c r="P183" s="115" t="str">
        <f>IF('CREST Inputs'!$G$77="as generated","N/A",'Cash Flow'!P64)</f>
        <v>N/A</v>
      </c>
      <c r="Q183" s="115" t="str">
        <f>IF('CREST Inputs'!$G$77="as generated","N/A",'Cash Flow'!Q64)</f>
        <v>N/A</v>
      </c>
      <c r="R183" s="115" t="str">
        <f>IF('CREST Inputs'!$G$77="as generated","N/A",'Cash Flow'!R64)</f>
        <v>N/A</v>
      </c>
      <c r="S183" s="115" t="str">
        <f>IF('CREST Inputs'!$G$77="as generated","N/A",'Cash Flow'!S64)</f>
        <v>N/A</v>
      </c>
      <c r="T183" s="115" t="str">
        <f>IF('CREST Inputs'!$G$77="as generated","N/A",'Cash Flow'!T64)</f>
        <v>N/A</v>
      </c>
      <c r="U183" s="115" t="str">
        <f>IF('CREST Inputs'!$G$77="as generated","N/A",'Cash Flow'!U64)</f>
        <v>N/A</v>
      </c>
      <c r="V183" s="115" t="str">
        <f>IF('CREST Inputs'!$G$77="as generated","N/A",'Cash Flow'!V64)</f>
        <v>N/A</v>
      </c>
      <c r="W183" s="115" t="str">
        <f>IF('CREST Inputs'!$G$77="as generated","N/A",'Cash Flow'!W64)</f>
        <v>N/A</v>
      </c>
      <c r="X183" s="115" t="str">
        <f>IF('CREST Inputs'!$G$77="as generated","N/A",'Cash Flow'!X64)</f>
        <v>N/A</v>
      </c>
      <c r="Y183" s="115" t="str">
        <f>IF('CREST Inputs'!$G$77="as generated","N/A",'Cash Flow'!Y64)</f>
        <v>N/A</v>
      </c>
      <c r="Z183" s="115" t="str">
        <f>IF('CREST Inputs'!$G$77="as generated","N/A",'Cash Flow'!Z64)</f>
        <v>N/A</v>
      </c>
      <c r="AA183" s="115" t="str">
        <f>IF('CREST Inputs'!$G$77="as generated","N/A",'Cash Flow'!AA64)</f>
        <v>N/A</v>
      </c>
      <c r="AB183" s="115" t="str">
        <f>IF('CREST Inputs'!$G$77="as generated","N/A",'Cash Flow'!AB64)</f>
        <v>N/A</v>
      </c>
      <c r="AC183" s="115" t="str">
        <f>IF('CREST Inputs'!$G$77="as generated","N/A",'Cash Flow'!AC64)</f>
        <v>N/A</v>
      </c>
      <c r="AD183" s="115" t="str">
        <f>IF('CREST Inputs'!$G$77="as generated","N/A",'Cash Flow'!AD64)</f>
        <v>N/A</v>
      </c>
      <c r="AE183" s="115" t="str">
        <f>IF('CREST Inputs'!$G$77="as generated","N/A",'Cash Flow'!AE64)</f>
        <v>N/A</v>
      </c>
      <c r="AF183" s="115" t="str">
        <f>IF('CREST Inputs'!$G$77="as generated","N/A",'Cash Flow'!AF64)</f>
        <v>N/A</v>
      </c>
      <c r="AG183" s="115" t="str">
        <f>IF('CREST Inputs'!$G$77="as generated","N/A",'Cash Flow'!AG64)</f>
        <v>N/A</v>
      </c>
      <c r="AH183" s="115" t="str">
        <f>IF('CREST Inputs'!$G$77="as generated","N/A",'Cash Flow'!AH64)</f>
        <v>N/A</v>
      </c>
      <c r="AI183" s="115" t="str">
        <f>IF('CREST Inputs'!$G$77="as generated","N/A",'Cash Flow'!AI64)</f>
        <v>N/A</v>
      </c>
      <c r="AJ183" s="115" t="str">
        <f>IF('CREST Inputs'!$G$77="as generated","N/A",'Cash Flow'!AJ64)</f>
        <v>N/A</v>
      </c>
    </row>
    <row r="184" spans="2:36" s="27" customFormat="1" ht="15">
      <c r="B184" s="95"/>
      <c r="C184" s="95"/>
      <c r="D184" s="95"/>
      <c r="E184" s="95"/>
      <c r="F184" s="110"/>
      <c r="G184" s="115"/>
      <c r="H184" s="115"/>
      <c r="I184" s="115"/>
      <c r="J184" s="115"/>
      <c r="K184" s="115"/>
      <c r="L184" s="115"/>
      <c r="M184" s="115"/>
      <c r="N184" s="115"/>
      <c r="O184" s="115"/>
      <c r="P184" s="115"/>
      <c r="Q184" s="115"/>
      <c r="R184" s="115"/>
      <c r="S184" s="115"/>
      <c r="T184" s="115"/>
      <c r="U184" s="115"/>
      <c r="V184" s="115"/>
      <c r="W184" s="115"/>
      <c r="X184" s="115"/>
      <c r="Y184" s="115"/>
      <c r="Z184" s="115"/>
      <c r="AA184" s="115"/>
      <c r="AB184" s="115"/>
      <c r="AC184" s="115"/>
      <c r="AD184" s="115"/>
      <c r="AE184" s="115"/>
      <c r="AF184" s="115"/>
      <c r="AG184" s="115"/>
      <c r="AH184" s="115"/>
      <c r="AI184" s="115"/>
      <c r="AJ184" s="115"/>
    </row>
    <row r="185" spans="2:36" s="27" customFormat="1" ht="15">
      <c r="B185" s="95" t="s">
        <v>226</v>
      </c>
      <c r="C185" s="95"/>
      <c r="D185" s="95"/>
      <c r="E185" s="95"/>
      <c r="F185" s="110"/>
      <c r="G185" s="115">
        <v>0</v>
      </c>
      <c r="H185" s="115">
        <f>IF('CREST Inputs'!$G$77="as generated",0,G188)</f>
        <v>0</v>
      </c>
      <c r="I185" s="115">
        <f>IF('CREST Inputs'!$G$77="as generated",0,H188)</f>
        <v>0</v>
      </c>
      <c r="J185" s="115">
        <f>IF('CREST Inputs'!$G$77="as generated",0,I188)</f>
        <v>0</v>
      </c>
      <c r="K185" s="115">
        <f>IF('CREST Inputs'!$G$77="as generated",0,J188)</f>
        <v>0</v>
      </c>
      <c r="L185" s="115">
        <f>IF('CREST Inputs'!$G$77="as generated",0,K188)</f>
        <v>0</v>
      </c>
      <c r="M185" s="115">
        <f>IF('CREST Inputs'!$G$77="as generated",0,L188)</f>
        <v>0</v>
      </c>
      <c r="N185" s="115">
        <f>IF('CREST Inputs'!$G$77="as generated",0,M188)</f>
        <v>0</v>
      </c>
      <c r="O185" s="115">
        <f>IF('CREST Inputs'!$G$77="as generated",0,N188)</f>
        <v>0</v>
      </c>
      <c r="P185" s="115">
        <f>IF('CREST Inputs'!$G$77="as generated",0,O188)</f>
        <v>0</v>
      </c>
      <c r="Q185" s="115">
        <f>IF('CREST Inputs'!$G$77="as generated",0,P188)</f>
        <v>0</v>
      </c>
      <c r="R185" s="115">
        <f>IF('CREST Inputs'!$G$77="as generated",0,Q188)</f>
        <v>0</v>
      </c>
      <c r="S185" s="115">
        <f>IF('CREST Inputs'!$G$77="as generated",0,R188)</f>
        <v>0</v>
      </c>
      <c r="T185" s="115">
        <f>IF('CREST Inputs'!$G$77="as generated",0,S188)</f>
        <v>0</v>
      </c>
      <c r="U185" s="115">
        <f>IF('CREST Inputs'!$G$77="as generated",0,T188)</f>
        <v>0</v>
      </c>
      <c r="V185" s="115">
        <f>IF('CREST Inputs'!$G$77="as generated",0,U188)</f>
        <v>0</v>
      </c>
      <c r="W185" s="115">
        <f>IF('CREST Inputs'!$G$77="as generated",0,V188)</f>
        <v>0</v>
      </c>
      <c r="X185" s="115">
        <f>IF('CREST Inputs'!$G$77="as generated",0,W188)</f>
        <v>0</v>
      </c>
      <c r="Y185" s="115">
        <f>IF('CREST Inputs'!$G$77="as generated",0,X188)</f>
        <v>0</v>
      </c>
      <c r="Z185" s="115">
        <f>IF('CREST Inputs'!$G$77="as generated",0,Y188)</f>
        <v>0</v>
      </c>
      <c r="AA185" s="115">
        <f>IF('CREST Inputs'!$G$77="as generated",0,Z188)</f>
        <v>0</v>
      </c>
      <c r="AB185" s="115">
        <f>IF('CREST Inputs'!$G$77="as generated",0,AA188)</f>
        <v>0</v>
      </c>
      <c r="AC185" s="115">
        <f>IF('CREST Inputs'!$G$77="as generated",0,AB188)</f>
        <v>0</v>
      </c>
      <c r="AD185" s="115">
        <f>IF('CREST Inputs'!$G$77="as generated",0,AC188)</f>
        <v>0</v>
      </c>
      <c r="AE185" s="115">
        <f>IF('CREST Inputs'!$G$77="as generated",0,AD188)</f>
        <v>0</v>
      </c>
      <c r="AF185" s="115">
        <f>IF('CREST Inputs'!$G$77="as generated",0,AE188)</f>
        <v>0</v>
      </c>
      <c r="AG185" s="115">
        <f>IF('CREST Inputs'!$G$77="as generated",0,AF188)</f>
        <v>0</v>
      </c>
      <c r="AH185" s="115">
        <f>IF('CREST Inputs'!$G$77="as generated",0,AG188)</f>
        <v>0</v>
      </c>
      <c r="AI185" s="115">
        <f>IF('CREST Inputs'!$G$77="as generated",0,AH188)</f>
        <v>0</v>
      </c>
      <c r="AJ185" s="115">
        <f>IF('CREST Inputs'!$G$77="as generated",0,AI188)</f>
        <v>0</v>
      </c>
    </row>
    <row r="186" spans="2:36" s="27" customFormat="1" ht="15">
      <c r="B186" s="95" t="s">
        <v>227</v>
      </c>
      <c r="C186" s="95"/>
      <c r="D186" s="95"/>
      <c r="E186" s="95"/>
      <c r="F186" s="110"/>
      <c r="G186" s="115">
        <f>IF('CREST Inputs'!$G$77="as generated",0,IF(G183&lt;=0,G180,0))</f>
        <v>0</v>
      </c>
      <c r="H186" s="115">
        <f>IF('CREST Inputs'!$G$77="as generated",0,IF(H183&lt;=0,H180,0))</f>
        <v>0</v>
      </c>
      <c r="I186" s="115">
        <f>IF('CREST Inputs'!$G$77="as generated",0,IF(I183&lt;=0,I180,0))</f>
        <v>0</v>
      </c>
      <c r="J186" s="115">
        <f>IF('CREST Inputs'!$G$77="as generated",0,IF(J183&lt;=0,J180,0))</f>
        <v>0</v>
      </c>
      <c r="K186" s="115">
        <f>IF('CREST Inputs'!$G$77="as generated",0,IF(K183&lt;=0,K180,0))</f>
        <v>0</v>
      </c>
      <c r="L186" s="115">
        <f>IF('CREST Inputs'!$G$77="as generated",0,IF(L183&lt;=0,L180,0))</f>
        <v>0</v>
      </c>
      <c r="M186" s="115">
        <f>IF('CREST Inputs'!$G$77="as generated",0,IF(M183&lt;=0,M180,0))</f>
        <v>0</v>
      </c>
      <c r="N186" s="115">
        <f>IF('CREST Inputs'!$G$77="as generated",0,IF(N183&lt;=0,N180,0))</f>
        <v>0</v>
      </c>
      <c r="O186" s="115">
        <f>IF('CREST Inputs'!$G$77="as generated",0,IF(O183&lt;=0,O180,0))</f>
        <v>0</v>
      </c>
      <c r="P186" s="115">
        <f>IF('CREST Inputs'!$G$77="as generated",0,IF(P183&lt;=0,P180,0))</f>
        <v>0</v>
      </c>
      <c r="Q186" s="115">
        <f>IF('CREST Inputs'!$G$77="as generated",0,IF(Q183&lt;=0,Q180,0))</f>
        <v>0</v>
      </c>
      <c r="R186" s="115">
        <f>IF('CREST Inputs'!$G$77="as generated",0,IF(R183&lt;=0,R180,0))</f>
        <v>0</v>
      </c>
      <c r="S186" s="115">
        <f>IF('CREST Inputs'!$G$77="as generated",0,IF(S183&lt;=0,S180,0))</f>
        <v>0</v>
      </c>
      <c r="T186" s="115">
        <f>IF('CREST Inputs'!$G$77="as generated",0,IF(T183&lt;=0,T180,0))</f>
        <v>0</v>
      </c>
      <c r="U186" s="115">
        <f>IF('CREST Inputs'!$G$77="as generated",0,IF(U183&lt;=0,U180,0))</f>
        <v>0</v>
      </c>
      <c r="V186" s="115">
        <f>IF('CREST Inputs'!$G$77="as generated",0,IF(V183&lt;=0,V180,0))</f>
        <v>0</v>
      </c>
      <c r="W186" s="115">
        <f>IF('CREST Inputs'!$G$77="as generated",0,IF(W183&lt;=0,W180,0))</f>
        <v>0</v>
      </c>
      <c r="X186" s="115">
        <f>IF('CREST Inputs'!$G$77="as generated",0,IF(X183&lt;=0,X180,0))</f>
        <v>0</v>
      </c>
      <c r="Y186" s="115">
        <f>IF('CREST Inputs'!$G$77="as generated",0,IF(Y183&lt;=0,Y180,0))</f>
        <v>0</v>
      </c>
      <c r="Z186" s="115">
        <f>IF('CREST Inputs'!$G$77="as generated",0,IF(Z183&lt;=0,Z180,0))</f>
        <v>0</v>
      </c>
      <c r="AA186" s="115">
        <f>IF('CREST Inputs'!$G$77="as generated",0,IF(AA183&lt;=0,AA180,0))</f>
        <v>0</v>
      </c>
      <c r="AB186" s="115">
        <f>IF('CREST Inputs'!$G$77="as generated",0,IF(AB183&lt;=0,AB180,0))</f>
        <v>0</v>
      </c>
      <c r="AC186" s="115">
        <f>IF('CREST Inputs'!$G$77="as generated",0,IF(AC183&lt;=0,AC180,0))</f>
        <v>0</v>
      </c>
      <c r="AD186" s="115">
        <f>IF('CREST Inputs'!$G$77="as generated",0,IF(AD183&lt;=0,AD180,0))</f>
        <v>0</v>
      </c>
      <c r="AE186" s="115">
        <f>IF('CREST Inputs'!$G$77="as generated",0,IF(AE183&lt;=0,AE180,0))</f>
        <v>0</v>
      </c>
      <c r="AF186" s="115">
        <f>IF('CREST Inputs'!$G$77="as generated",0,IF(AF183&lt;=0,AF180,0))</f>
        <v>0</v>
      </c>
      <c r="AG186" s="115">
        <f>IF('CREST Inputs'!$G$77="as generated",0,IF(AG183&lt;=0,AG180,0))</f>
        <v>0</v>
      </c>
      <c r="AH186" s="115">
        <f>IF('CREST Inputs'!$G$77="as generated",0,IF(AH183&lt;=0,AH180,0))</f>
        <v>0</v>
      </c>
      <c r="AI186" s="115">
        <f>IF('CREST Inputs'!$G$77="as generated",0,IF(AI183&lt;=0,AI180,0))</f>
        <v>0</v>
      </c>
      <c r="AJ186" s="115">
        <f>IF('CREST Inputs'!$G$77="as generated",0,IF(AJ183&lt;=0,AJ180,0))</f>
        <v>0</v>
      </c>
    </row>
    <row r="187" spans="2:36" s="27" customFormat="1" ht="15">
      <c r="B187" s="95" t="s">
        <v>228</v>
      </c>
      <c r="C187" s="95"/>
      <c r="D187" s="95"/>
      <c r="E187" s="95"/>
      <c r="F187" s="110"/>
      <c r="G187" s="115">
        <f>IF('CREST Inputs'!$G$77="as generated",0,IF(G$183&lt;0,MAX(G$183,-F$188),0))</f>
        <v>0</v>
      </c>
      <c r="H187" s="115">
        <f>IF('CREST Inputs'!$G$77="as generated",0,IF(H$183&lt;0,MAX(H$183,-G$188),0))</f>
        <v>0</v>
      </c>
      <c r="I187" s="115">
        <f>IF('CREST Inputs'!$G$77="as generated",0,IF(I$183&lt;0,MAX(I$183,-H$188),0))</f>
        <v>0</v>
      </c>
      <c r="J187" s="115">
        <f>IF('CREST Inputs'!$G$77="as generated",0,IF(J$183&lt;0,MAX(J$183,-I$188),0))</f>
        <v>0</v>
      </c>
      <c r="K187" s="115">
        <f>IF('CREST Inputs'!$G$77="as generated",0,IF(K$183&lt;0,MAX(K$183,-J$188),0))</f>
        <v>0</v>
      </c>
      <c r="L187" s="115">
        <f>IF('CREST Inputs'!$G$77="as generated",0,IF(L$183&lt;0,MAX(L$183,-K$188),0))</f>
        <v>0</v>
      </c>
      <c r="M187" s="115">
        <f>IF('CREST Inputs'!$G$77="as generated",0,IF(M$183&lt;0,MAX(M$183,-L$188),0))</f>
        <v>0</v>
      </c>
      <c r="N187" s="115">
        <f>IF('CREST Inputs'!$G$77="as generated",0,IF(N$183&lt;0,MAX(N$183,-M$188),0))</f>
        <v>0</v>
      </c>
      <c r="O187" s="115">
        <f>IF('CREST Inputs'!$G$77="as generated",0,IF(O$183&lt;0,MAX(O$183,-N$188),0))</f>
        <v>0</v>
      </c>
      <c r="P187" s="115">
        <f>IF('CREST Inputs'!$G$77="as generated",0,IF(P$183&lt;0,MAX(P$183,-O$188),0))</f>
        <v>0</v>
      </c>
      <c r="Q187" s="115">
        <f>IF('CREST Inputs'!$G$77="as generated",0,IF(Q$183&lt;0,MAX(Q$183,-P$188),0))</f>
        <v>0</v>
      </c>
      <c r="R187" s="115">
        <f>IF('CREST Inputs'!$G$77="as generated",0,IF(R$183&lt;0,MAX(R$183,-Q$188),0))</f>
        <v>0</v>
      </c>
      <c r="S187" s="115">
        <f>IF('CREST Inputs'!$G$77="as generated",0,IF(S$183&lt;0,MAX(S$183,-R$188),0))</f>
        <v>0</v>
      </c>
      <c r="T187" s="115">
        <f>IF('CREST Inputs'!$G$77="as generated",0,IF(T$183&lt;0,MAX(T$183,-S$188),0))</f>
        <v>0</v>
      </c>
      <c r="U187" s="115">
        <f>IF('CREST Inputs'!$G$77="as generated",0,IF(U$183&lt;0,MAX(U$183,-T$188),0))</f>
        <v>0</v>
      </c>
      <c r="V187" s="115">
        <f>IF('CREST Inputs'!$G$77="as generated",0,IF(V$183&lt;0,MAX(V$183,-U$188),0))</f>
        <v>0</v>
      </c>
      <c r="W187" s="115">
        <f>IF('CREST Inputs'!$G$77="as generated",0,IF(W$183&lt;0,MAX(W$183,-V$188),0))</f>
        <v>0</v>
      </c>
      <c r="X187" s="115">
        <f>IF('CREST Inputs'!$G$77="as generated",0,IF(X$183&lt;0,MAX(X$183,-W$188),0))</f>
        <v>0</v>
      </c>
      <c r="Y187" s="115">
        <f>IF('CREST Inputs'!$G$77="as generated",0,IF(Y$183&lt;0,MAX(Y$183,-X$188),0))</f>
        <v>0</v>
      </c>
      <c r="Z187" s="115">
        <f>IF('CREST Inputs'!$G$77="as generated",0,IF(Z$183&lt;0,MAX(Z$183,-Y$188),0))</f>
        <v>0</v>
      </c>
      <c r="AA187" s="115">
        <f>IF('CREST Inputs'!$G$77="as generated",0,IF(AA$183&lt;0,MAX(AA$183,-Z$188),0))</f>
        <v>0</v>
      </c>
      <c r="AB187" s="115">
        <f>IF('CREST Inputs'!$G$77="as generated",0,IF(AB$183&lt;0,MAX(AB$183,-AA$188),0))</f>
        <v>0</v>
      </c>
      <c r="AC187" s="115">
        <f>IF('CREST Inputs'!$G$77="as generated",0,IF(AC$183&lt;0,MAX(AC$183,-AB$188),0))</f>
        <v>0</v>
      </c>
      <c r="AD187" s="115">
        <f>IF('CREST Inputs'!$G$77="as generated",0,IF(AD$183&lt;0,MAX(AD$183,-AC$188),0))</f>
        <v>0</v>
      </c>
      <c r="AE187" s="115">
        <f>IF('CREST Inputs'!$G$77="as generated",0,IF(AE$183&lt;0,MAX(AE$183,-AD$188),0))</f>
        <v>0</v>
      </c>
      <c r="AF187" s="115">
        <f>IF('CREST Inputs'!$G$77="as generated",0,IF(AF$183&lt;0,MAX(AF$183,-AE$188),0))</f>
        <v>0</v>
      </c>
      <c r="AG187" s="115">
        <f>IF('CREST Inputs'!$G$77="as generated",0,IF(AG$183&lt;0,MAX(AG$183,-AF$188),0))</f>
        <v>0</v>
      </c>
      <c r="AH187" s="115">
        <f>IF('CREST Inputs'!$G$77="as generated",0,IF(AH$183&lt;0,MAX(AH$183,-AG$188),0))</f>
        <v>0</v>
      </c>
      <c r="AI187" s="115">
        <f>IF('CREST Inputs'!$G$77="as generated",0,IF(AI$183&lt;0,MAX(AI$183,-AH$188),0))</f>
        <v>0</v>
      </c>
      <c r="AJ187" s="115">
        <f>IF('CREST Inputs'!$G$77="as generated",0,IF(AJ$183&lt;0,MAX(AJ$183,-AI$188),0))</f>
        <v>0</v>
      </c>
    </row>
    <row r="188" spans="2:36" s="27" customFormat="1" ht="15">
      <c r="B188" s="95" t="s">
        <v>229</v>
      </c>
      <c r="C188" s="95"/>
      <c r="D188" s="95"/>
      <c r="E188" s="95"/>
      <c r="F188" s="115">
        <v>0</v>
      </c>
      <c r="G188" s="115">
        <f>SUM(G185:G187)</f>
        <v>0</v>
      </c>
      <c r="H188" s="115">
        <f aca="true" t="shared" si="57" ref="H188:AJ188">SUM(H185:H187)</f>
        <v>0</v>
      </c>
      <c r="I188" s="115">
        <f t="shared" si="57"/>
        <v>0</v>
      </c>
      <c r="J188" s="115">
        <f t="shared" si="57"/>
        <v>0</v>
      </c>
      <c r="K188" s="115">
        <f t="shared" si="57"/>
        <v>0</v>
      </c>
      <c r="L188" s="115">
        <f t="shared" si="57"/>
        <v>0</v>
      </c>
      <c r="M188" s="115">
        <f t="shared" si="57"/>
        <v>0</v>
      </c>
      <c r="N188" s="115">
        <f t="shared" si="57"/>
        <v>0</v>
      </c>
      <c r="O188" s="115">
        <f t="shared" si="57"/>
        <v>0</v>
      </c>
      <c r="P188" s="115">
        <f t="shared" si="57"/>
        <v>0</v>
      </c>
      <c r="Q188" s="115">
        <f t="shared" si="57"/>
        <v>0</v>
      </c>
      <c r="R188" s="115">
        <f t="shared" si="57"/>
        <v>0</v>
      </c>
      <c r="S188" s="115">
        <f t="shared" si="57"/>
        <v>0</v>
      </c>
      <c r="T188" s="115">
        <f t="shared" si="57"/>
        <v>0</v>
      </c>
      <c r="U188" s="115">
        <f t="shared" si="57"/>
        <v>0</v>
      </c>
      <c r="V188" s="115">
        <f t="shared" si="57"/>
        <v>0</v>
      </c>
      <c r="W188" s="115">
        <f t="shared" si="57"/>
        <v>0</v>
      </c>
      <c r="X188" s="115">
        <f t="shared" si="57"/>
        <v>0</v>
      </c>
      <c r="Y188" s="115">
        <f t="shared" si="57"/>
        <v>0</v>
      </c>
      <c r="Z188" s="115">
        <f t="shared" si="57"/>
        <v>0</v>
      </c>
      <c r="AA188" s="115">
        <f t="shared" si="57"/>
        <v>0</v>
      </c>
      <c r="AB188" s="115">
        <f t="shared" si="57"/>
        <v>0</v>
      </c>
      <c r="AC188" s="115">
        <f t="shared" si="57"/>
        <v>0</v>
      </c>
      <c r="AD188" s="115">
        <f t="shared" si="57"/>
        <v>0</v>
      </c>
      <c r="AE188" s="115">
        <f t="shared" si="57"/>
        <v>0</v>
      </c>
      <c r="AF188" s="115">
        <f t="shared" si="57"/>
        <v>0</v>
      </c>
      <c r="AG188" s="115">
        <f t="shared" si="57"/>
        <v>0</v>
      </c>
      <c r="AH188" s="115">
        <f t="shared" si="57"/>
        <v>0</v>
      </c>
      <c r="AI188" s="115">
        <f t="shared" si="57"/>
        <v>0</v>
      </c>
      <c r="AJ188" s="115">
        <f t="shared" si="57"/>
        <v>0</v>
      </c>
    </row>
    <row r="189" spans="2:36" s="27" customFormat="1" ht="16.5" thickBot="1">
      <c r="B189" s="117"/>
      <c r="C189" s="117"/>
      <c r="D189" s="117"/>
      <c r="E189" s="117"/>
      <c r="F189" s="117"/>
      <c r="G189" s="118"/>
      <c r="H189" s="119"/>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row>
    <row r="190" spans="2:36" ht="15">
      <c r="B190" s="139"/>
      <c r="C190" s="139"/>
      <c r="D190" s="139"/>
      <c r="E190" s="139"/>
      <c r="F190" s="139"/>
      <c r="G190" s="139"/>
      <c r="H190" s="139"/>
      <c r="I190" s="139"/>
      <c r="J190" s="139"/>
      <c r="K190" s="139"/>
      <c r="L190" s="139"/>
      <c r="M190" s="139"/>
      <c r="N190" s="139"/>
      <c r="O190" s="139"/>
      <c r="P190" s="139"/>
      <c r="Q190" s="139"/>
      <c r="R190" s="139"/>
      <c r="S190" s="139"/>
      <c r="T190" s="139"/>
      <c r="U190" s="139"/>
      <c r="V190" s="139"/>
      <c r="W190" s="139"/>
      <c r="X190" s="139"/>
      <c r="Y190" s="139"/>
      <c r="Z190" s="139"/>
      <c r="AA190" s="139"/>
      <c r="AB190" s="139"/>
      <c r="AC190" s="139"/>
      <c r="AD190" s="139"/>
      <c r="AE190" s="139"/>
      <c r="AF190" s="139"/>
      <c r="AG190" s="139"/>
      <c r="AH190" s="139"/>
      <c r="AI190" s="139"/>
      <c r="AJ190" s="139"/>
    </row>
    <row r="191" spans="2:36" ht="15.75">
      <c r="B191" s="94" t="s">
        <v>132</v>
      </c>
      <c r="C191" s="94"/>
      <c r="D191" s="94"/>
      <c r="E191" s="139"/>
      <c r="F191" s="139"/>
      <c r="G191" s="139"/>
      <c r="H191" s="139"/>
      <c r="I191" s="139"/>
      <c r="J191" s="139"/>
      <c r="K191" s="139"/>
      <c r="L191" s="139"/>
      <c r="M191" s="139"/>
      <c r="N191" s="139"/>
      <c r="O191" s="139"/>
      <c r="P191" s="139"/>
      <c r="Q191" s="139"/>
      <c r="R191" s="139"/>
      <c r="S191" s="139"/>
      <c r="T191" s="139"/>
      <c r="U191" s="139"/>
      <c r="V191" s="139"/>
      <c r="W191" s="139"/>
      <c r="X191" s="139"/>
      <c r="Y191" s="139"/>
      <c r="Z191" s="139"/>
      <c r="AA191" s="139"/>
      <c r="AB191" s="139"/>
      <c r="AC191" s="139"/>
      <c r="AD191" s="139"/>
      <c r="AE191" s="139"/>
      <c r="AF191" s="139"/>
      <c r="AG191" s="139"/>
      <c r="AH191" s="139"/>
      <c r="AI191" s="139"/>
      <c r="AJ191" s="139"/>
    </row>
    <row r="192" spans="2:36" ht="15.75">
      <c r="B192" s="114" t="s">
        <v>78</v>
      </c>
      <c r="C192" s="114"/>
      <c r="D192" s="114"/>
      <c r="E192" s="139"/>
      <c r="F192" s="146">
        <v>0</v>
      </c>
      <c r="G192" s="132">
        <f>F197</f>
        <v>189001.7762641761</v>
      </c>
      <c r="H192" s="132">
        <f aca="true" t="shared" si="58" ref="H192:AJ192">G197</f>
        <v>227520.2947826946</v>
      </c>
      <c r="I192" s="132">
        <f t="shared" si="58"/>
        <v>266038.81330121314</v>
      </c>
      <c r="J192" s="132">
        <f t="shared" si="58"/>
        <v>304557.3318197317</v>
      </c>
      <c r="K192" s="132">
        <f t="shared" si="58"/>
        <v>343075.8503382502</v>
      </c>
      <c r="L192" s="132">
        <f t="shared" si="58"/>
        <v>381594.36885676876</v>
      </c>
      <c r="M192" s="132">
        <f t="shared" si="58"/>
        <v>274581.03721439437</v>
      </c>
      <c r="N192" s="132">
        <f t="shared" si="58"/>
        <v>313099.5557329129</v>
      </c>
      <c r="O192" s="132">
        <f t="shared" si="58"/>
        <v>351618.07425143145</v>
      </c>
      <c r="P192" s="132">
        <f t="shared" si="58"/>
        <v>390136.59276995</v>
      </c>
      <c r="Q192" s="132">
        <f t="shared" si="58"/>
        <v>43469.9261032833</v>
      </c>
      <c r="R192" s="132">
        <f t="shared" si="58"/>
        <v>43469.9261032833</v>
      </c>
      <c r="S192" s="132">
        <f t="shared" si="58"/>
        <v>43469.9261032833</v>
      </c>
      <c r="T192" s="132">
        <f t="shared" si="58"/>
        <v>43469.9261032833</v>
      </c>
      <c r="U192" s="132">
        <f t="shared" si="58"/>
        <v>43469.9261032833</v>
      </c>
      <c r="V192" s="132">
        <f t="shared" si="58"/>
        <v>43469.9261032833</v>
      </c>
      <c r="W192" s="132">
        <f t="shared" si="58"/>
        <v>43469.9261032833</v>
      </c>
      <c r="X192" s="132">
        <f t="shared" si="58"/>
        <v>43469.9261032833</v>
      </c>
      <c r="Y192" s="132">
        <f t="shared" si="58"/>
        <v>43469.9261032833</v>
      </c>
      <c r="Z192" s="132">
        <f t="shared" si="58"/>
        <v>43469.9261032833</v>
      </c>
      <c r="AA192" s="132">
        <f t="shared" si="58"/>
        <v>43469.9261032833</v>
      </c>
      <c r="AB192" s="132">
        <f t="shared" si="58"/>
        <v>43469.9261032833</v>
      </c>
      <c r="AC192" s="132">
        <f t="shared" si="58"/>
        <v>43469.9261032833</v>
      </c>
      <c r="AD192" s="132">
        <f t="shared" si="58"/>
        <v>43469.9261032833</v>
      </c>
      <c r="AE192" s="132">
        <f t="shared" si="58"/>
        <v>43469.9261032833</v>
      </c>
      <c r="AF192" s="132">
        <f t="shared" si="58"/>
        <v>1.2369127944111824E-10</v>
      </c>
      <c r="AG192" s="132">
        <f t="shared" si="58"/>
        <v>0</v>
      </c>
      <c r="AH192" s="132">
        <f t="shared" si="58"/>
        <v>0</v>
      </c>
      <c r="AI192" s="132">
        <f t="shared" si="58"/>
        <v>0</v>
      </c>
      <c r="AJ192" s="132">
        <f t="shared" si="58"/>
        <v>0</v>
      </c>
    </row>
    <row r="193" spans="2:36" ht="15.75">
      <c r="B193" s="114" t="s">
        <v>40</v>
      </c>
      <c r="C193" s="114"/>
      <c r="D193" s="114"/>
      <c r="E193" s="139"/>
      <c r="F193" s="132">
        <f>'CREST Inputs'!$Q$63</f>
        <v>145531.8501608929</v>
      </c>
      <c r="G193" s="132">
        <f>IF(G$2='CREST Inputs'!$G$52+1,-$F$193,0)</f>
        <v>0</v>
      </c>
      <c r="H193" s="132">
        <f>IF(H$2='CREST Inputs'!$G$52+1,-$F$193,0)</f>
        <v>0</v>
      </c>
      <c r="I193" s="132">
        <f>IF(I$2='CREST Inputs'!$G$52+1,-$F$193,0)</f>
        <v>0</v>
      </c>
      <c r="J193" s="132">
        <f>IF(J$2='CREST Inputs'!$G$52+1,-$F$193,0)</f>
        <v>0</v>
      </c>
      <c r="K193" s="132">
        <f>IF(K$2='CREST Inputs'!$G$52+1,-$F$193,0)</f>
        <v>0</v>
      </c>
      <c r="L193" s="132">
        <f>IF(L$2='CREST Inputs'!$G$52+1,-$F$193,0)</f>
        <v>-145531.8501608929</v>
      </c>
      <c r="M193" s="132">
        <f>IF(M$2='CREST Inputs'!$G$52+1,-$F$193,0)</f>
        <v>0</v>
      </c>
      <c r="N193" s="132">
        <f>IF(N$2='CREST Inputs'!$G$52+1,-$F$193,0)</f>
        <v>0</v>
      </c>
      <c r="O193" s="132">
        <f>IF(O$2='CREST Inputs'!$G$52+1,-$F$193,0)</f>
        <v>0</v>
      </c>
      <c r="P193" s="132">
        <f>IF(P$2='CREST Inputs'!$G$52+1,-$F$193,0)</f>
        <v>0</v>
      </c>
      <c r="Q193" s="132">
        <f>IF(Q$2='CREST Inputs'!$G$52+1,-$F$193,0)</f>
        <v>0</v>
      </c>
      <c r="R193" s="132">
        <f>IF(R$2='CREST Inputs'!$G$52+1,-$F$193,0)</f>
        <v>0</v>
      </c>
      <c r="S193" s="132">
        <f>IF(S$2='CREST Inputs'!$G$52+1,-$F$193,0)</f>
        <v>0</v>
      </c>
      <c r="T193" s="132">
        <f>IF(T$2='CREST Inputs'!$G$52+1,-$F$193,0)</f>
        <v>0</v>
      </c>
      <c r="U193" s="132">
        <f>IF(U$2='CREST Inputs'!$G$52+1,-$F$193,0)</f>
        <v>0</v>
      </c>
      <c r="V193" s="132">
        <f>IF(V$2='CREST Inputs'!$G$52+1,-$F$193,0)</f>
        <v>0</v>
      </c>
      <c r="W193" s="132">
        <f>IF(W$2='CREST Inputs'!$G$52+1,-$F$193,0)</f>
        <v>0</v>
      </c>
      <c r="X193" s="132">
        <f>IF(X$2='CREST Inputs'!$G$52+1,-$F$193,0)</f>
        <v>0</v>
      </c>
      <c r="Y193" s="132">
        <f>IF(Y$2='CREST Inputs'!$G$52+1,-$F$193,0)</f>
        <v>0</v>
      </c>
      <c r="Z193" s="132">
        <f>IF(Z$2='CREST Inputs'!$G$52+1,-$F$193,0)</f>
        <v>0</v>
      </c>
      <c r="AA193" s="132">
        <f>IF(AA$2='CREST Inputs'!$G$52+1,-$F$193,0)</f>
        <v>0</v>
      </c>
      <c r="AB193" s="132">
        <f>IF(AB$2='CREST Inputs'!$G$52+1,-$F$193,0)</f>
        <v>0</v>
      </c>
      <c r="AC193" s="132">
        <f>IF(AC$2='CREST Inputs'!$G$52+1,-$F$193,0)</f>
        <v>0</v>
      </c>
      <c r="AD193" s="132">
        <f>IF(AD$2='CREST Inputs'!$G$52+1,-$F$193,0)</f>
        <v>0</v>
      </c>
      <c r="AE193" s="132">
        <f>IF(AE$2='CREST Inputs'!$G$52+1,-$F$193,0)</f>
        <v>0</v>
      </c>
      <c r="AF193" s="132">
        <f>IF(AF$2='CREST Inputs'!$G$52+1,-$F$193,0)</f>
        <v>0</v>
      </c>
      <c r="AG193" s="132">
        <f>IF(AG$2='CREST Inputs'!$G$52+1,-$F$193,0)</f>
        <v>0</v>
      </c>
      <c r="AH193" s="132">
        <f>IF(AH$2='CREST Inputs'!$G$52+1,-$F$193,0)</f>
        <v>0</v>
      </c>
      <c r="AI193" s="132">
        <f>IF(AI$2='CREST Inputs'!$G$52+1,-$F$193,0)</f>
        <v>0</v>
      </c>
      <c r="AJ193" s="132">
        <f>IF(AJ$2='CREST Inputs'!$G$52+1,-$F$193,0)</f>
        <v>0</v>
      </c>
    </row>
    <row r="194" spans="2:36" ht="15.75">
      <c r="B194" s="114" t="s">
        <v>154</v>
      </c>
      <c r="C194" s="114"/>
      <c r="D194" s="114"/>
      <c r="E194" s="139"/>
      <c r="F194" s="132">
        <f>'CREST Inputs'!$Q$66</f>
        <v>43469.92610328318</v>
      </c>
      <c r="G194" s="132">
        <f>IF(G$2='CREST Inputs'!$G$15,-$F$194,0)</f>
        <v>0</v>
      </c>
      <c r="H194" s="132">
        <f>IF(H$2='CREST Inputs'!$G$15,-$F$194,0)</f>
        <v>0</v>
      </c>
      <c r="I194" s="132">
        <f>IF(I$2='CREST Inputs'!$G$15,-$F$194,0)</f>
        <v>0</v>
      </c>
      <c r="J194" s="132">
        <f>IF(J$2='CREST Inputs'!$G$15,-$F$194,0)</f>
        <v>0</v>
      </c>
      <c r="K194" s="132">
        <f>IF(K$2='CREST Inputs'!$G$15,-$F$194,0)</f>
        <v>0</v>
      </c>
      <c r="L194" s="132">
        <f>IF(L$2='CREST Inputs'!$G$15,-$F$194,0)</f>
        <v>0</v>
      </c>
      <c r="M194" s="132">
        <f>IF(M$2='CREST Inputs'!$G$15,-$F$194,0)</f>
        <v>0</v>
      </c>
      <c r="N194" s="132">
        <f>IF(N$2='CREST Inputs'!$G$15,-$F$194,0)</f>
        <v>0</v>
      </c>
      <c r="O194" s="132">
        <f>IF(O$2='CREST Inputs'!$G$15,-$F$194,0)</f>
        <v>0</v>
      </c>
      <c r="P194" s="132">
        <f>IF(P$2='CREST Inputs'!$G$15,-$F$194,0)</f>
        <v>0</v>
      </c>
      <c r="Q194" s="132">
        <f>IF(Q$2='CREST Inputs'!$G$15,-$F$194,0)</f>
        <v>0</v>
      </c>
      <c r="R194" s="132">
        <f>IF(R$2='CREST Inputs'!$G$15,-$F$194,0)</f>
        <v>0</v>
      </c>
      <c r="S194" s="132">
        <f>IF(S$2='CREST Inputs'!$G$15,-$F$194,0)</f>
        <v>0</v>
      </c>
      <c r="T194" s="132">
        <f>IF(T$2='CREST Inputs'!$G$15,-$F$194,0)</f>
        <v>0</v>
      </c>
      <c r="U194" s="132">
        <f>IF(U$2='CREST Inputs'!$G$15,-$F$194,0)</f>
        <v>0</v>
      </c>
      <c r="V194" s="132">
        <f>IF(V$2='CREST Inputs'!$G$15,-$F$194,0)</f>
        <v>0</v>
      </c>
      <c r="W194" s="132">
        <f>IF(W$2='CREST Inputs'!$G$15,-$F$194,0)</f>
        <v>0</v>
      </c>
      <c r="X194" s="132">
        <f>IF(X$2='CREST Inputs'!$G$15,-$F$194,0)</f>
        <v>0</v>
      </c>
      <c r="Y194" s="132">
        <f>IF(Y$2='CREST Inputs'!$G$15,-$F$194,0)</f>
        <v>0</v>
      </c>
      <c r="Z194" s="132">
        <f>IF(Z$2='CREST Inputs'!$G$15,-$F$194,0)</f>
        <v>0</v>
      </c>
      <c r="AA194" s="132">
        <f>IF(AA$2='CREST Inputs'!$G$15,-$F$194,0)</f>
        <v>0</v>
      </c>
      <c r="AB194" s="132">
        <f>IF(AB$2='CREST Inputs'!$G$15,-$F$194,0)</f>
        <v>0</v>
      </c>
      <c r="AC194" s="132">
        <f>IF(AC$2='CREST Inputs'!$G$15,-$F$194,0)</f>
        <v>0</v>
      </c>
      <c r="AD194" s="132">
        <f>IF(AD$2='CREST Inputs'!$G$15,-$F$194,0)</f>
        <v>0</v>
      </c>
      <c r="AE194" s="132">
        <f>IF(AE$2='CREST Inputs'!$G$15,-$F$194,0)</f>
        <v>-43469.92610328318</v>
      </c>
      <c r="AF194" s="132">
        <f>IF(AF$2='CREST Inputs'!$G$15,-$F$194,0)</f>
        <v>0</v>
      </c>
      <c r="AG194" s="132">
        <f>IF(AG$2='CREST Inputs'!$G$15,-$F$194,0)</f>
        <v>0</v>
      </c>
      <c r="AH194" s="132">
        <f>IF(AH$2='CREST Inputs'!$G$15,-$F$194,0)</f>
        <v>0</v>
      </c>
      <c r="AI194" s="132">
        <f>IF(AI$2='CREST Inputs'!$G$15,-$F$194,0)</f>
        <v>0</v>
      </c>
      <c r="AJ194" s="132">
        <f>IF(AJ$2='CREST Inputs'!$G$15,-$F$194,0)</f>
        <v>0</v>
      </c>
    </row>
    <row r="195" spans="2:36" ht="15.75">
      <c r="B195" s="114" t="s">
        <v>159</v>
      </c>
      <c r="C195" s="114"/>
      <c r="D195" s="114"/>
      <c r="E195" s="139"/>
      <c r="F195" s="146">
        <v>0</v>
      </c>
      <c r="G195" s="132">
        <f>IF(G$2&lt;'CREST Inputs'!$Q$50,$E$129/('CREST Inputs'!$Q$50-1),IF(G$2='CREST Inputs'!$Q$50,-($E$129),IF(AND(G$2&gt;'CREST Inputs'!$Q$50,G$2&lt;'CREST Inputs'!$Q$52),($E$132)/('CREST Inputs'!$Q$52-'CREST Inputs'!$Q$50-1),IF(G$2='CREST Inputs'!$Q$52,-($E$132),0))))</f>
        <v>38518.51851851852</v>
      </c>
      <c r="H195" s="132">
        <f>IF(H$2&lt;'CREST Inputs'!$Q$50,$E$129/('CREST Inputs'!$Q$50-1),IF(H$2='CREST Inputs'!$Q$50,-($E$129),IF(AND(H$2&gt;'CREST Inputs'!$Q$50,H$2&lt;'CREST Inputs'!$Q$52),($E$132)/('CREST Inputs'!$Q$52-'CREST Inputs'!$Q$50-1),IF(H$2='CREST Inputs'!$Q$52,-($E$132),0))))</f>
        <v>38518.51851851852</v>
      </c>
      <c r="I195" s="132">
        <f>IF(I$2&lt;'CREST Inputs'!$Q$50,$E$129/('CREST Inputs'!$Q$50-1),IF(I$2='CREST Inputs'!$Q$50,-($E$129),IF(AND(I$2&gt;'CREST Inputs'!$Q$50,I$2&lt;'CREST Inputs'!$Q$52),($E$132)/('CREST Inputs'!$Q$52-'CREST Inputs'!$Q$50-1),IF(I$2='CREST Inputs'!$Q$52,-($E$132),0))))</f>
        <v>38518.51851851852</v>
      </c>
      <c r="J195" s="132">
        <f>IF(J$2&lt;'CREST Inputs'!$Q$50,$E$129/('CREST Inputs'!$Q$50-1),IF(J$2='CREST Inputs'!$Q$50,-($E$129),IF(AND(J$2&gt;'CREST Inputs'!$Q$50,J$2&lt;'CREST Inputs'!$Q$52),($E$132)/('CREST Inputs'!$Q$52-'CREST Inputs'!$Q$50-1),IF(J$2='CREST Inputs'!$Q$52,-($E$132),0))))</f>
        <v>38518.51851851852</v>
      </c>
      <c r="K195" s="132">
        <f>IF(K$2&lt;'CREST Inputs'!$Q$50,$E$129/('CREST Inputs'!$Q$50-1),IF(K$2='CREST Inputs'!$Q$50,-($E$129),IF(AND(K$2&gt;'CREST Inputs'!$Q$50,K$2&lt;'CREST Inputs'!$Q$52),($E$132)/('CREST Inputs'!$Q$52-'CREST Inputs'!$Q$50-1),IF(K$2='CREST Inputs'!$Q$52,-($E$132),0))))</f>
        <v>38518.51851851852</v>
      </c>
      <c r="L195" s="132">
        <f>IF(L$2&lt;'CREST Inputs'!$Q$50,$E$129/('CREST Inputs'!$Q$50-1),IF(L$2='CREST Inputs'!$Q$50,-($E$129),IF(AND(L$2&gt;'CREST Inputs'!$Q$50,L$2&lt;'CREST Inputs'!$Q$52),($E$132)/('CREST Inputs'!$Q$52-'CREST Inputs'!$Q$50-1),IF(L$2='CREST Inputs'!$Q$52,-($E$132),0))))</f>
        <v>38518.51851851852</v>
      </c>
      <c r="M195" s="132">
        <f>IF(M$2&lt;'CREST Inputs'!$Q$50,$E$129/('CREST Inputs'!$Q$50-1),IF(M$2='CREST Inputs'!$Q$50,-($E$129),IF(AND(M$2&gt;'CREST Inputs'!$Q$50,M$2&lt;'CREST Inputs'!$Q$52),($E$132)/('CREST Inputs'!$Q$52-'CREST Inputs'!$Q$50-1),IF(M$2='CREST Inputs'!$Q$52,-($E$132),0))))</f>
        <v>38518.51851851852</v>
      </c>
      <c r="N195" s="132">
        <f>IF(N$2&lt;'CREST Inputs'!$Q$50,$E$129/('CREST Inputs'!$Q$50-1),IF(N$2='CREST Inputs'!$Q$50,-($E$129),IF(AND(N$2&gt;'CREST Inputs'!$Q$50,N$2&lt;'CREST Inputs'!$Q$52),($E$132)/('CREST Inputs'!$Q$52-'CREST Inputs'!$Q$50-1),IF(N$2='CREST Inputs'!$Q$52,-($E$132),0))))</f>
        <v>38518.51851851852</v>
      </c>
      <c r="O195" s="132">
        <f>IF(O$2&lt;'CREST Inputs'!$Q$50,$E$129/('CREST Inputs'!$Q$50-1),IF(O$2='CREST Inputs'!$Q$50,-($E$129),IF(AND(O$2&gt;'CREST Inputs'!$Q$50,O$2&lt;'CREST Inputs'!$Q$52),($E$132)/('CREST Inputs'!$Q$52-'CREST Inputs'!$Q$50-1),IF(O$2='CREST Inputs'!$Q$52,-($E$132),0))))</f>
        <v>38518.51851851852</v>
      </c>
      <c r="P195" s="132">
        <f>IF(P$2&lt;'CREST Inputs'!$Q$50,$E$129/('CREST Inputs'!$Q$50-1),IF(P$2='CREST Inputs'!$Q$50,-($E$129),IF(AND(P$2&gt;'CREST Inputs'!$Q$50,P$2&lt;'CREST Inputs'!$Q$52),($E$132)/('CREST Inputs'!$Q$52-'CREST Inputs'!$Q$50-1),IF(P$2='CREST Inputs'!$Q$52,-($E$132),0))))</f>
        <v>-346666.6666666667</v>
      </c>
      <c r="Q195" s="132">
        <f>IF(Q$2&lt;'CREST Inputs'!$Q$50,$E$129/('CREST Inputs'!$Q$50-1),IF(Q$2='CREST Inputs'!$Q$50,-($E$129),IF(AND(Q$2&gt;'CREST Inputs'!$Q$50,Q$2&lt;'CREST Inputs'!$Q$52),($E$132)/('CREST Inputs'!$Q$52-'CREST Inputs'!$Q$50-1),IF(Q$2='CREST Inputs'!$Q$52,-($E$132),0))))</f>
        <v>0</v>
      </c>
      <c r="R195" s="132">
        <f>IF(R$2&lt;'CREST Inputs'!$Q$50,$E$129/('CREST Inputs'!$Q$50-1),IF(R$2='CREST Inputs'!$Q$50,-($E$129),IF(AND(R$2&gt;'CREST Inputs'!$Q$50,R$2&lt;'CREST Inputs'!$Q$52),($E$132)/('CREST Inputs'!$Q$52-'CREST Inputs'!$Q$50-1),IF(R$2='CREST Inputs'!$Q$52,-($E$132),0))))</f>
        <v>0</v>
      </c>
      <c r="S195" s="132">
        <f>IF(S$2&lt;'CREST Inputs'!$Q$50,$E$129/('CREST Inputs'!$Q$50-1),IF(S$2='CREST Inputs'!$Q$50,-($E$129),IF(AND(S$2&gt;'CREST Inputs'!$Q$50,S$2&lt;'CREST Inputs'!$Q$52),($E$132)/('CREST Inputs'!$Q$52-'CREST Inputs'!$Q$50-1),IF(S$2='CREST Inputs'!$Q$52,-($E$132),0))))</f>
        <v>0</v>
      </c>
      <c r="T195" s="132">
        <f>IF(T$2&lt;'CREST Inputs'!$Q$50,$E$129/('CREST Inputs'!$Q$50-1),IF(T$2='CREST Inputs'!$Q$50,-($E$129),IF(AND(T$2&gt;'CREST Inputs'!$Q$50,T$2&lt;'CREST Inputs'!$Q$52),($E$132)/('CREST Inputs'!$Q$52-'CREST Inputs'!$Q$50-1),IF(T$2='CREST Inputs'!$Q$52,-($E$132),0))))</f>
        <v>0</v>
      </c>
      <c r="U195" s="132">
        <f>IF(U$2&lt;'CREST Inputs'!$Q$50,$E$129/('CREST Inputs'!$Q$50-1),IF(U$2='CREST Inputs'!$Q$50,-($E$129),IF(AND(U$2&gt;'CREST Inputs'!$Q$50,U$2&lt;'CREST Inputs'!$Q$52),($E$132)/('CREST Inputs'!$Q$52-'CREST Inputs'!$Q$50-1),IF(U$2='CREST Inputs'!$Q$52,-($E$132),0))))</f>
        <v>0</v>
      </c>
      <c r="V195" s="132">
        <f>IF(V$2&lt;'CREST Inputs'!$Q$50,$E$129/('CREST Inputs'!$Q$50-1),IF(V$2='CREST Inputs'!$Q$50,-($E$129),IF(AND(V$2&gt;'CREST Inputs'!$Q$50,V$2&lt;'CREST Inputs'!$Q$52),($E$132)/('CREST Inputs'!$Q$52-'CREST Inputs'!$Q$50-1),IF(V$2='CREST Inputs'!$Q$52,-($E$132),0))))</f>
        <v>0</v>
      </c>
      <c r="W195" s="132">
        <f>IF(W$2&lt;'CREST Inputs'!$Q$50,$E$129/('CREST Inputs'!$Q$50-1),IF(W$2='CREST Inputs'!$Q$50,-($E$129),IF(AND(W$2&gt;'CREST Inputs'!$Q$50,W$2&lt;'CREST Inputs'!$Q$52),($E$132)/('CREST Inputs'!$Q$52-'CREST Inputs'!$Q$50-1),IF(W$2='CREST Inputs'!$Q$52,-($E$132),0))))</f>
        <v>0</v>
      </c>
      <c r="X195" s="132">
        <f>IF(X$2&lt;'CREST Inputs'!$Q$50,$E$129/('CREST Inputs'!$Q$50-1),IF(X$2='CREST Inputs'!$Q$50,-($E$129),IF(AND(X$2&gt;'CREST Inputs'!$Q$50,X$2&lt;'CREST Inputs'!$Q$52),($E$132)/('CREST Inputs'!$Q$52-'CREST Inputs'!$Q$50-1),IF(X$2='CREST Inputs'!$Q$52,-($E$132),0))))</f>
        <v>0</v>
      </c>
      <c r="Y195" s="132">
        <f>IF(Y$2&lt;'CREST Inputs'!$Q$50,$E$129/('CREST Inputs'!$Q$50-1),IF(Y$2='CREST Inputs'!$Q$50,-($E$129),IF(AND(Y$2&gt;'CREST Inputs'!$Q$50,Y$2&lt;'CREST Inputs'!$Q$52),($E$132)/('CREST Inputs'!$Q$52-'CREST Inputs'!$Q$50-1),IF(Y$2='CREST Inputs'!$Q$52,-($E$132),0))))</f>
        <v>0</v>
      </c>
      <c r="Z195" s="132">
        <f>IF(Z$2&lt;'CREST Inputs'!$Q$50,$E$129/('CREST Inputs'!$Q$50-1),IF(Z$2='CREST Inputs'!$Q$50,-($E$129),IF(AND(Z$2&gt;'CREST Inputs'!$Q$50,Z$2&lt;'CREST Inputs'!$Q$52),($E$132)/('CREST Inputs'!$Q$52-'CREST Inputs'!$Q$50-1),IF(Z$2='CREST Inputs'!$Q$52,-($E$132),0))))</f>
        <v>0</v>
      </c>
      <c r="AA195" s="132">
        <f>IF(AA$2&lt;'CREST Inputs'!$Q$50,$E$129/('CREST Inputs'!$Q$50-1),IF(AA$2='CREST Inputs'!$Q$50,-($E$129),IF(AND(AA$2&gt;'CREST Inputs'!$Q$50,AA$2&lt;'CREST Inputs'!$Q$52),($E$132)/('CREST Inputs'!$Q$52-'CREST Inputs'!$Q$50-1),IF(AA$2='CREST Inputs'!$Q$52,-($E$132),0))))</f>
        <v>0</v>
      </c>
      <c r="AB195" s="132">
        <f>IF(AB$2&lt;'CREST Inputs'!$Q$50,$E$129/('CREST Inputs'!$Q$50-1),IF(AB$2='CREST Inputs'!$Q$50,-($E$129),IF(AND(AB$2&gt;'CREST Inputs'!$Q$50,AB$2&lt;'CREST Inputs'!$Q$52),($E$132)/('CREST Inputs'!$Q$52-'CREST Inputs'!$Q$50-1),IF(AB$2='CREST Inputs'!$Q$52,-($E$132),0))))</f>
        <v>0</v>
      </c>
      <c r="AC195" s="132">
        <f>IF(AC$2&lt;'CREST Inputs'!$Q$50,$E$129/('CREST Inputs'!$Q$50-1),IF(AC$2='CREST Inputs'!$Q$50,-($E$129),IF(AND(AC$2&gt;'CREST Inputs'!$Q$50,AC$2&lt;'CREST Inputs'!$Q$52),($E$132)/('CREST Inputs'!$Q$52-'CREST Inputs'!$Q$50-1),IF(AC$2='CREST Inputs'!$Q$52,-($E$132),0))))</f>
        <v>0</v>
      </c>
      <c r="AD195" s="132">
        <f>IF(AD$2&lt;'CREST Inputs'!$Q$50,$E$129/('CREST Inputs'!$Q$50-1),IF(AD$2='CREST Inputs'!$Q$50,-($E$129),IF(AND(AD$2&gt;'CREST Inputs'!$Q$50,AD$2&lt;'CREST Inputs'!$Q$52),($E$132)/('CREST Inputs'!$Q$52-'CREST Inputs'!$Q$50-1),IF(AD$2='CREST Inputs'!$Q$52,-($E$132),0))))</f>
        <v>0</v>
      </c>
      <c r="AE195" s="132">
        <f>IF(AE$2&lt;'CREST Inputs'!$Q$50,$E$129/('CREST Inputs'!$Q$50-1),IF(AE$2='CREST Inputs'!$Q$50,-($E$129),IF(AND(AE$2&gt;'CREST Inputs'!$Q$50,AE$2&lt;'CREST Inputs'!$Q$52),($E$132)/('CREST Inputs'!$Q$52-'CREST Inputs'!$Q$50-1),IF(AE$2='CREST Inputs'!$Q$52,-($E$132),0))))</f>
        <v>0</v>
      </c>
      <c r="AF195" s="132">
        <f>IF(AF$2&lt;'CREST Inputs'!$Q$50,$E$129/('CREST Inputs'!$Q$50-1),IF(AF$2='CREST Inputs'!$Q$50,-($E$129),IF(AND(AF$2&gt;'CREST Inputs'!$Q$50,AF$2&lt;'CREST Inputs'!$Q$52),($E$132)/('CREST Inputs'!$Q$52-'CREST Inputs'!$Q$50-1),IF(AF$2='CREST Inputs'!$Q$52,-($E$132),0))))</f>
        <v>0</v>
      </c>
      <c r="AG195" s="132">
        <f>IF(AG$2&lt;'CREST Inputs'!$Q$50,$E$129/('CREST Inputs'!$Q$50-1),IF(AG$2='CREST Inputs'!$Q$50,-($E$129),IF(AND(AG$2&gt;'CREST Inputs'!$Q$50,AG$2&lt;'CREST Inputs'!$Q$52),($E$132)/('CREST Inputs'!$Q$52-'CREST Inputs'!$Q$50-1),IF(AG$2='CREST Inputs'!$Q$52,-($E$132),0))))</f>
        <v>0</v>
      </c>
      <c r="AH195" s="132">
        <f>IF(AH$2&lt;'CREST Inputs'!$Q$50,$E$129/('CREST Inputs'!$Q$50-1),IF(AH$2='CREST Inputs'!$Q$50,-($E$129),IF(AND(AH$2&gt;'CREST Inputs'!$Q$50,AH$2&lt;'CREST Inputs'!$Q$52),($E$132)/('CREST Inputs'!$Q$52-'CREST Inputs'!$Q$50-1),IF(AH$2='CREST Inputs'!$Q$52,-($E$132),0))))</f>
        <v>0</v>
      </c>
      <c r="AI195" s="132">
        <f>IF(AI$2&lt;'CREST Inputs'!$Q$50,$E$129/('CREST Inputs'!$Q$50-1),IF(AI$2='CREST Inputs'!$Q$50,-($E$129),IF(AND(AI$2&gt;'CREST Inputs'!$Q$50,AI$2&lt;'CREST Inputs'!$Q$52),($E$132)/('CREST Inputs'!$Q$52-'CREST Inputs'!$Q$50-1),IF(AI$2='CREST Inputs'!$Q$52,-($E$132),0))))</f>
        <v>0</v>
      </c>
      <c r="AJ195" s="132">
        <f>IF(AJ$2&lt;'CREST Inputs'!$Q$50,$E$129/('CREST Inputs'!$Q$50-1),IF(AJ$2='CREST Inputs'!$Q$50,-($E$129),IF(AND(AJ$2&gt;'CREST Inputs'!$Q$50,AJ$2&lt;'CREST Inputs'!$Q$52),($E$132)/('CREST Inputs'!$Q$52-'CREST Inputs'!$Q$50-1),IF(AJ$2='CREST Inputs'!$Q$52,-($E$132),0))))</f>
        <v>0</v>
      </c>
    </row>
    <row r="196" spans="2:36" ht="15.75">
      <c r="B196" s="114" t="s">
        <v>45</v>
      </c>
      <c r="C196" s="114"/>
      <c r="D196" s="114"/>
      <c r="E196" s="139"/>
      <c r="F196" s="146">
        <v>0</v>
      </c>
      <c r="G196" s="132">
        <f>IF(OR(G$2&gt;'CREST Inputs'!$G$15,'CREST Inputs'!$Q$57="salvage"),0,'CREST Inputs'!$Q$58/'CREST Inputs'!$Q$8)</f>
        <v>0</v>
      </c>
      <c r="H196" s="132">
        <f>IF(OR(H$2&gt;'CREST Inputs'!$G$15,'CREST Inputs'!$Q$57="salvage"),0,'CREST Inputs'!$Q$58/'CREST Inputs'!$Q$8)</f>
        <v>0</v>
      </c>
      <c r="I196" s="132">
        <f>IF(OR(I$2&gt;'CREST Inputs'!$G$15,'CREST Inputs'!$Q$57="salvage"),0,'CREST Inputs'!$Q$58/'CREST Inputs'!$Q$8)</f>
        <v>0</v>
      </c>
      <c r="J196" s="132">
        <f>IF(OR(J$2&gt;'CREST Inputs'!$G$15,'CREST Inputs'!$Q$57="salvage"),0,'CREST Inputs'!$Q$58/'CREST Inputs'!$Q$8)</f>
        <v>0</v>
      </c>
      <c r="K196" s="132">
        <f>IF(OR(K$2&gt;'CREST Inputs'!$G$15,'CREST Inputs'!$Q$57="salvage"),0,'CREST Inputs'!$Q$58/'CREST Inputs'!$Q$8)</f>
        <v>0</v>
      </c>
      <c r="L196" s="132">
        <f>IF(OR(L$2&gt;'CREST Inputs'!$G$15,'CREST Inputs'!$Q$57="salvage"),0,'CREST Inputs'!$Q$58/'CREST Inputs'!$Q$8)</f>
        <v>0</v>
      </c>
      <c r="M196" s="132">
        <f>IF(OR(M$2&gt;'CREST Inputs'!$G$15,'CREST Inputs'!$Q$57="salvage"),0,'CREST Inputs'!$Q$58/'CREST Inputs'!$Q$8)</f>
        <v>0</v>
      </c>
      <c r="N196" s="132">
        <f>IF(OR(N$2&gt;'CREST Inputs'!$G$15,'CREST Inputs'!$Q$57="salvage"),0,'CREST Inputs'!$Q$58/'CREST Inputs'!$Q$8)</f>
        <v>0</v>
      </c>
      <c r="O196" s="132">
        <f>IF(OR(O$2&gt;'CREST Inputs'!$G$15,'CREST Inputs'!$Q$57="salvage"),0,'CREST Inputs'!$Q$58/'CREST Inputs'!$Q$8)</f>
        <v>0</v>
      </c>
      <c r="P196" s="132">
        <f>IF(OR(P$2&gt;'CREST Inputs'!$G$15,'CREST Inputs'!$Q$57="salvage"),0,'CREST Inputs'!$Q$58/'CREST Inputs'!$Q$8)</f>
        <v>0</v>
      </c>
      <c r="Q196" s="132">
        <f>IF(OR(Q$2&gt;'CREST Inputs'!$G$15,'CREST Inputs'!$Q$57="salvage"),0,'CREST Inputs'!$Q$58/'CREST Inputs'!$Q$8)</f>
        <v>0</v>
      </c>
      <c r="R196" s="132">
        <f>IF(OR(R$2&gt;'CREST Inputs'!$G$15,'CREST Inputs'!$Q$57="salvage"),0,'CREST Inputs'!$Q$58/'CREST Inputs'!$Q$8)</f>
        <v>0</v>
      </c>
      <c r="S196" s="132">
        <f>IF(OR(S$2&gt;'CREST Inputs'!$G$15,'CREST Inputs'!$Q$57="salvage"),0,'CREST Inputs'!$Q$58/'CREST Inputs'!$Q$8)</f>
        <v>0</v>
      </c>
      <c r="T196" s="132">
        <f>IF(OR(T$2&gt;'CREST Inputs'!$G$15,'CREST Inputs'!$Q$57="salvage"),0,'CREST Inputs'!$Q$58/'CREST Inputs'!$Q$8)</f>
        <v>0</v>
      </c>
      <c r="U196" s="132">
        <f>IF(OR(U$2&gt;'CREST Inputs'!$G$15,'CREST Inputs'!$Q$57="salvage"),0,'CREST Inputs'!$Q$58/'CREST Inputs'!$Q$8)</f>
        <v>0</v>
      </c>
      <c r="V196" s="132">
        <f>IF(OR(V$2&gt;'CREST Inputs'!$G$15,'CREST Inputs'!$Q$57="salvage"),0,'CREST Inputs'!$Q$58/'CREST Inputs'!$Q$8)</f>
        <v>0</v>
      </c>
      <c r="W196" s="132">
        <f>IF(OR(W$2&gt;'CREST Inputs'!$G$15,'CREST Inputs'!$Q$57="salvage"),0,'CREST Inputs'!$Q$58/'CREST Inputs'!$Q$8)</f>
        <v>0</v>
      </c>
      <c r="X196" s="132">
        <f>IF(OR(X$2&gt;'CREST Inputs'!$G$15,'CREST Inputs'!$Q$57="salvage"),0,'CREST Inputs'!$Q$58/'CREST Inputs'!$Q$8)</f>
        <v>0</v>
      </c>
      <c r="Y196" s="132">
        <f>IF(OR(Y$2&gt;'CREST Inputs'!$G$15,'CREST Inputs'!$Q$57="salvage"),0,'CREST Inputs'!$Q$58/'CREST Inputs'!$Q$8)</f>
        <v>0</v>
      </c>
      <c r="Z196" s="132">
        <f>IF(OR(Z$2&gt;'CREST Inputs'!$G$15,'CREST Inputs'!$Q$57="salvage"),0,'CREST Inputs'!$Q$58/'CREST Inputs'!$Q$8)</f>
        <v>0</v>
      </c>
      <c r="AA196" s="132">
        <f>IF(OR(AA$2&gt;'CREST Inputs'!$G$15,'CREST Inputs'!$Q$57="salvage"),0,'CREST Inputs'!$Q$58/'CREST Inputs'!$Q$8)</f>
        <v>0</v>
      </c>
      <c r="AB196" s="132">
        <f>IF(OR(AB$2&gt;'CREST Inputs'!$G$15,'CREST Inputs'!$Q$57="salvage"),0,'CREST Inputs'!$Q$58/'CREST Inputs'!$Q$8)</f>
        <v>0</v>
      </c>
      <c r="AC196" s="132">
        <f>IF(OR(AC$2&gt;'CREST Inputs'!$G$15,'CREST Inputs'!$Q$57="salvage"),0,'CREST Inputs'!$Q$58/'CREST Inputs'!$Q$8)</f>
        <v>0</v>
      </c>
      <c r="AD196" s="132">
        <f>IF(OR(AD$2&gt;'CREST Inputs'!$G$15,'CREST Inputs'!$Q$57="salvage"),0,'CREST Inputs'!$Q$58/'CREST Inputs'!$Q$8)</f>
        <v>0</v>
      </c>
      <c r="AE196" s="132">
        <f>IF(OR(AE$2&gt;'CREST Inputs'!$G$15,'CREST Inputs'!$Q$57="salvage"),0,'CREST Inputs'!$Q$58/'CREST Inputs'!$Q$8)</f>
        <v>0</v>
      </c>
      <c r="AF196" s="132">
        <f>IF(OR(AF$2&gt;'CREST Inputs'!$G$15,'CREST Inputs'!$Q$57="salvage"),0,'CREST Inputs'!$Q$58/'CREST Inputs'!$Q$8)</f>
        <v>0</v>
      </c>
      <c r="AG196" s="132">
        <f>IF(OR(AG$2&gt;'CREST Inputs'!$G$15,'CREST Inputs'!$Q$57="salvage"),0,'CREST Inputs'!$Q$58/'CREST Inputs'!$Q$8)</f>
        <v>0</v>
      </c>
      <c r="AH196" s="132">
        <f>IF(OR(AH$2&gt;'CREST Inputs'!$G$15,'CREST Inputs'!$Q$57="salvage"),0,'CREST Inputs'!$Q$58/'CREST Inputs'!$Q$8)</f>
        <v>0</v>
      </c>
      <c r="AI196" s="132">
        <f>IF(OR(AI$2&gt;'CREST Inputs'!$G$15,'CREST Inputs'!$Q$57="salvage"),0,'CREST Inputs'!$Q$58/'CREST Inputs'!$Q$8)</f>
        <v>0</v>
      </c>
      <c r="AJ196" s="132">
        <f>IF(OR(AJ$2&gt;'CREST Inputs'!$G$15,'CREST Inputs'!$Q$57="salvage"),0,'CREST Inputs'!$Q$58/'CREST Inputs'!$Q$8)</f>
        <v>0</v>
      </c>
    </row>
    <row r="197" spans="2:36" ht="15.75">
      <c r="B197" s="95" t="s">
        <v>80</v>
      </c>
      <c r="C197" s="95"/>
      <c r="D197" s="95"/>
      <c r="E197" s="139"/>
      <c r="F197" s="132">
        <f>IF(F$2&gt;'CREST Inputs'!$G$15,0,SUM(F192:F196))</f>
        <v>189001.7762641761</v>
      </c>
      <c r="G197" s="132">
        <f>IF(G$2&gt;'CREST Inputs'!$G$15,0,SUM(G192:G196))</f>
        <v>227520.2947826946</v>
      </c>
      <c r="H197" s="132">
        <f>IF(H$2&gt;'CREST Inputs'!$G$15,0,SUM(H192:H196))</f>
        <v>266038.81330121314</v>
      </c>
      <c r="I197" s="132">
        <f>IF(I$2&gt;'CREST Inputs'!$G$15,0,SUM(I192:I196))</f>
        <v>304557.3318197317</v>
      </c>
      <c r="J197" s="132">
        <f>IF(J$2&gt;'CREST Inputs'!$G$15,0,SUM(J192:J196))</f>
        <v>343075.8503382502</v>
      </c>
      <c r="K197" s="132">
        <f>IF(K$2&gt;'CREST Inputs'!$G$15,0,SUM(K192:K196))</f>
        <v>381594.36885676876</v>
      </c>
      <c r="L197" s="132">
        <f>IF(L$2&gt;'CREST Inputs'!$G$15,0,SUM(L192:L196))</f>
        <v>274581.03721439437</v>
      </c>
      <c r="M197" s="132">
        <f>IF(M$2&gt;'CREST Inputs'!$G$15,0,SUM(M192:M196))</f>
        <v>313099.5557329129</v>
      </c>
      <c r="N197" s="132">
        <f>IF(N$2&gt;'CREST Inputs'!$G$15,0,SUM(N192:N196))</f>
        <v>351618.07425143145</v>
      </c>
      <c r="O197" s="132">
        <f>IF(O$2&gt;'CREST Inputs'!$G$15,0,SUM(O192:O196))</f>
        <v>390136.59276995</v>
      </c>
      <c r="P197" s="132">
        <f>IF(P$2&gt;'CREST Inputs'!$G$15,0,SUM(P192:P196))</f>
        <v>43469.9261032833</v>
      </c>
      <c r="Q197" s="132">
        <f>IF(Q$2&gt;'CREST Inputs'!$G$15,0,SUM(Q192:Q196))</f>
        <v>43469.9261032833</v>
      </c>
      <c r="R197" s="132">
        <f>IF(R$2&gt;'CREST Inputs'!$G$15,0,SUM(R192:R196))</f>
        <v>43469.9261032833</v>
      </c>
      <c r="S197" s="132">
        <f>IF(S$2&gt;'CREST Inputs'!$G$15,0,SUM(S192:S196))</f>
        <v>43469.9261032833</v>
      </c>
      <c r="T197" s="132">
        <f>IF(T$2&gt;'CREST Inputs'!$G$15,0,SUM(T192:T196))</f>
        <v>43469.9261032833</v>
      </c>
      <c r="U197" s="132">
        <f>IF(U$2&gt;'CREST Inputs'!$G$15,0,SUM(U192:U196))</f>
        <v>43469.9261032833</v>
      </c>
      <c r="V197" s="132">
        <f>IF(V$2&gt;'CREST Inputs'!$G$15,0,SUM(V192:V196))</f>
        <v>43469.9261032833</v>
      </c>
      <c r="W197" s="132">
        <f>IF(W$2&gt;'CREST Inputs'!$G$15,0,SUM(W192:W196))</f>
        <v>43469.9261032833</v>
      </c>
      <c r="X197" s="132">
        <f>IF(X$2&gt;'CREST Inputs'!$G$15,0,SUM(X192:X196))</f>
        <v>43469.9261032833</v>
      </c>
      <c r="Y197" s="132">
        <f>IF(Y$2&gt;'CREST Inputs'!$G$15,0,SUM(Y192:Y196))</f>
        <v>43469.9261032833</v>
      </c>
      <c r="Z197" s="132">
        <f>IF(Z$2&gt;'CREST Inputs'!$G$15,0,SUM(Z192:Z196))</f>
        <v>43469.9261032833</v>
      </c>
      <c r="AA197" s="132">
        <f>IF(AA$2&gt;'CREST Inputs'!$G$15,0,SUM(AA192:AA196))</f>
        <v>43469.9261032833</v>
      </c>
      <c r="AB197" s="132">
        <f>IF(AB$2&gt;'CREST Inputs'!$G$15,0,SUM(AB192:AB196))</f>
        <v>43469.9261032833</v>
      </c>
      <c r="AC197" s="132">
        <f>IF(AC$2&gt;'CREST Inputs'!$G$15,0,SUM(AC192:AC196))</f>
        <v>43469.9261032833</v>
      </c>
      <c r="AD197" s="132">
        <f>IF(AD$2&gt;'CREST Inputs'!$G$15,0,SUM(AD192:AD196))</f>
        <v>43469.9261032833</v>
      </c>
      <c r="AE197" s="132">
        <f>IF(AE$2&gt;'CREST Inputs'!$G$15,0,SUM(AE192:AE196))</f>
        <v>1.2369127944111824E-10</v>
      </c>
      <c r="AF197" s="132">
        <f>IF(AF$2&gt;'CREST Inputs'!$G$15,0,SUM(AF192:AF196))</f>
        <v>0</v>
      </c>
      <c r="AG197" s="132">
        <f>IF(AG$2&gt;'CREST Inputs'!$G$15,0,SUM(AG192:AG196))</f>
        <v>0</v>
      </c>
      <c r="AH197" s="132">
        <f>IF(AH$2&gt;'CREST Inputs'!$G$15,0,SUM(AH192:AH196))</f>
        <v>0</v>
      </c>
      <c r="AI197" s="132">
        <f>IF(AI$2&gt;'CREST Inputs'!$G$15,0,SUM(AI192:AI196))</f>
        <v>0</v>
      </c>
      <c r="AJ197" s="132">
        <f>IF(AJ$2&gt;'CREST Inputs'!$G$15,0,SUM(AJ192:AJ196))</f>
        <v>0</v>
      </c>
    </row>
    <row r="198" spans="2:36" ht="15.75">
      <c r="B198" s="94"/>
      <c r="C198" s="94"/>
      <c r="D198" s="94"/>
      <c r="E198" s="139"/>
      <c r="F198" s="132"/>
      <c r="G198" s="132"/>
      <c r="H198" s="132"/>
      <c r="I198" s="132"/>
      <c r="J198" s="132"/>
      <c r="K198" s="132"/>
      <c r="L198" s="132"/>
      <c r="M198" s="132"/>
      <c r="N198" s="139"/>
      <c r="O198" s="139"/>
      <c r="P198" s="139"/>
      <c r="Q198" s="139"/>
      <c r="R198" s="139"/>
      <c r="S198" s="139"/>
      <c r="T198" s="139"/>
      <c r="U198" s="139"/>
      <c r="V198" s="139"/>
      <c r="W198" s="139"/>
      <c r="X198" s="139"/>
      <c r="Y198" s="139"/>
      <c r="Z198" s="139"/>
      <c r="AA198" s="139"/>
      <c r="AB198" s="139"/>
      <c r="AC198" s="139"/>
      <c r="AD198" s="139"/>
      <c r="AE198" s="139"/>
      <c r="AF198" s="139"/>
      <c r="AG198" s="139"/>
      <c r="AH198" s="139"/>
      <c r="AI198" s="139"/>
      <c r="AJ198" s="139"/>
    </row>
    <row r="199" spans="2:36" ht="15.75">
      <c r="B199" s="95" t="s">
        <v>155</v>
      </c>
      <c r="C199" s="95"/>
      <c r="D199" s="95"/>
      <c r="E199" s="139"/>
      <c r="F199" s="132"/>
      <c r="G199" s="132">
        <f>AVERAGE(G192,G197)*'CREST Inputs'!$Q$67</f>
        <v>4165.220710468707</v>
      </c>
      <c r="H199" s="132">
        <f>AVERAGE(H192,H197)*'CREST Inputs'!$Q$67</f>
        <v>4935.591080839077</v>
      </c>
      <c r="I199" s="132">
        <f>AVERAGE(I192,I197)*'CREST Inputs'!$Q$67</f>
        <v>5705.961451209449</v>
      </c>
      <c r="J199" s="132">
        <f>AVERAGE(J192,J197)*'CREST Inputs'!$Q$67</f>
        <v>6476.331821579819</v>
      </c>
      <c r="K199" s="132">
        <f>AVERAGE(K192,K197)*'CREST Inputs'!$Q$67</f>
        <v>7246.70219195019</v>
      </c>
      <c r="L199" s="132">
        <f>AVERAGE(L192,L197)*'CREST Inputs'!$Q$67</f>
        <v>6561.754060711632</v>
      </c>
      <c r="M199" s="132">
        <f>AVERAGE(M192,M197)*'CREST Inputs'!$Q$67</f>
        <v>5876.805929473073</v>
      </c>
      <c r="N199" s="132">
        <f>AVERAGE(N192,N197)*'CREST Inputs'!$Q$67</f>
        <v>6647.176299843443</v>
      </c>
      <c r="O199" s="132">
        <f>AVERAGE(O192,O197)*'CREST Inputs'!$Q$67</f>
        <v>7417.546670213815</v>
      </c>
      <c r="P199" s="132">
        <f>AVERAGE(P192,P197)*'CREST Inputs'!$Q$67</f>
        <v>4336.065188732333</v>
      </c>
      <c r="Q199" s="132">
        <f>AVERAGE(Q192,Q197)*'CREST Inputs'!$Q$67</f>
        <v>869.398522065666</v>
      </c>
      <c r="R199" s="132">
        <f>AVERAGE(R192,R197)*'CREST Inputs'!$Q$67</f>
        <v>869.398522065666</v>
      </c>
      <c r="S199" s="132">
        <f>AVERAGE(S192,S197)*'CREST Inputs'!$Q$67</f>
        <v>869.398522065666</v>
      </c>
      <c r="T199" s="132">
        <f>AVERAGE(T192,T197)*'CREST Inputs'!$Q$67</f>
        <v>869.398522065666</v>
      </c>
      <c r="U199" s="132">
        <f>AVERAGE(U192,U197)*'CREST Inputs'!$Q$67</f>
        <v>869.398522065666</v>
      </c>
      <c r="V199" s="132">
        <f>AVERAGE(V192,V197)*'CREST Inputs'!$Q$67</f>
        <v>869.398522065666</v>
      </c>
      <c r="W199" s="132">
        <f>AVERAGE(W192,W197)*'CREST Inputs'!$Q$67</f>
        <v>869.398522065666</v>
      </c>
      <c r="X199" s="132">
        <f>AVERAGE(X192,X197)*'CREST Inputs'!$Q$67</f>
        <v>869.398522065666</v>
      </c>
      <c r="Y199" s="132">
        <f>AVERAGE(Y192,Y197)*'CREST Inputs'!$Q$67</f>
        <v>869.398522065666</v>
      </c>
      <c r="Z199" s="132">
        <f>AVERAGE(Z192,Z197)*'CREST Inputs'!$Q$67</f>
        <v>869.398522065666</v>
      </c>
      <c r="AA199" s="132">
        <f>AVERAGE(AA192,AA197)*'CREST Inputs'!$Q$67</f>
        <v>869.398522065666</v>
      </c>
      <c r="AB199" s="132">
        <f>AVERAGE(AB192,AB197)*'CREST Inputs'!$Q$67</f>
        <v>869.398522065666</v>
      </c>
      <c r="AC199" s="132">
        <f>AVERAGE(AC192,AC197)*'CREST Inputs'!$Q$67</f>
        <v>869.398522065666</v>
      </c>
      <c r="AD199" s="132">
        <f>AVERAGE(AD192,AD197)*'CREST Inputs'!$Q$67</f>
        <v>869.398522065666</v>
      </c>
      <c r="AE199" s="132">
        <f>AVERAGE(AE192,AE197)*'CREST Inputs'!$Q$67</f>
        <v>434.6992610328343</v>
      </c>
      <c r="AF199" s="132">
        <f>AVERAGE(AF192,AF197)*'CREST Inputs'!$Q$67</f>
        <v>1.2369127944111825E-12</v>
      </c>
      <c r="AG199" s="132">
        <f>AVERAGE(AG192,AG197)*'CREST Inputs'!$Q$67</f>
        <v>0</v>
      </c>
      <c r="AH199" s="132">
        <f>AVERAGE(AH192,AH197)*'CREST Inputs'!$Q$67</f>
        <v>0</v>
      </c>
      <c r="AI199" s="132">
        <f>AVERAGE(AI192,AI197)*'CREST Inputs'!$Q$67</f>
        <v>0</v>
      </c>
      <c r="AJ199" s="132">
        <f>AVERAGE(AJ192,AJ197)*'CREST Inputs'!$Q$67</f>
        <v>0</v>
      </c>
    </row>
    <row r="200" spans="2:36" ht="15.75">
      <c r="B200" s="95" t="s">
        <v>156</v>
      </c>
      <c r="C200" s="95"/>
      <c r="D200" s="95"/>
      <c r="E200" s="139"/>
      <c r="F200" s="139"/>
      <c r="G200" s="132">
        <f>SUM(G193:G196)</f>
        <v>38518.51851851852</v>
      </c>
      <c r="H200" s="132">
        <f aca="true" t="shared" si="59" ref="H200:AJ200">SUM(H193:H196)</f>
        <v>38518.51851851852</v>
      </c>
      <c r="I200" s="132">
        <f t="shared" si="59"/>
        <v>38518.51851851852</v>
      </c>
      <c r="J200" s="132">
        <f t="shared" si="59"/>
        <v>38518.51851851852</v>
      </c>
      <c r="K200" s="132">
        <f t="shared" si="59"/>
        <v>38518.51851851852</v>
      </c>
      <c r="L200" s="132">
        <f t="shared" si="59"/>
        <v>-107013.3316423744</v>
      </c>
      <c r="M200" s="132">
        <f t="shared" si="59"/>
        <v>38518.51851851852</v>
      </c>
      <c r="N200" s="132">
        <f t="shared" si="59"/>
        <v>38518.51851851852</v>
      </c>
      <c r="O200" s="132">
        <f t="shared" si="59"/>
        <v>38518.51851851852</v>
      </c>
      <c r="P200" s="132">
        <f t="shared" si="59"/>
        <v>-346666.6666666667</v>
      </c>
      <c r="Q200" s="132">
        <f t="shared" si="59"/>
        <v>0</v>
      </c>
      <c r="R200" s="132">
        <f t="shared" si="59"/>
        <v>0</v>
      </c>
      <c r="S200" s="132">
        <f t="shared" si="59"/>
        <v>0</v>
      </c>
      <c r="T200" s="132">
        <f t="shared" si="59"/>
        <v>0</v>
      </c>
      <c r="U200" s="132">
        <f t="shared" si="59"/>
        <v>0</v>
      </c>
      <c r="V200" s="132">
        <f t="shared" si="59"/>
        <v>0</v>
      </c>
      <c r="W200" s="132">
        <f t="shared" si="59"/>
        <v>0</v>
      </c>
      <c r="X200" s="132">
        <f t="shared" si="59"/>
        <v>0</v>
      </c>
      <c r="Y200" s="132">
        <f t="shared" si="59"/>
        <v>0</v>
      </c>
      <c r="Z200" s="132">
        <f t="shared" si="59"/>
        <v>0</v>
      </c>
      <c r="AA200" s="132">
        <f t="shared" si="59"/>
        <v>0</v>
      </c>
      <c r="AB200" s="132">
        <f t="shared" si="59"/>
        <v>0</v>
      </c>
      <c r="AC200" s="132">
        <f t="shared" si="59"/>
        <v>0</v>
      </c>
      <c r="AD200" s="132">
        <f t="shared" si="59"/>
        <v>0</v>
      </c>
      <c r="AE200" s="132">
        <f t="shared" si="59"/>
        <v>-43469.92610328318</v>
      </c>
      <c r="AF200" s="132">
        <f t="shared" si="59"/>
        <v>0</v>
      </c>
      <c r="AG200" s="132">
        <f t="shared" si="59"/>
        <v>0</v>
      </c>
      <c r="AH200" s="132">
        <f t="shared" si="59"/>
        <v>0</v>
      </c>
      <c r="AI200" s="132">
        <f t="shared" si="59"/>
        <v>0</v>
      </c>
      <c r="AJ200" s="132">
        <f t="shared" si="59"/>
        <v>0</v>
      </c>
    </row>
    <row r="201" spans="2:36" ht="16.5" thickBot="1">
      <c r="B201" s="140"/>
      <c r="C201" s="140"/>
      <c r="D201" s="140"/>
      <c r="E201" s="141"/>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c r="AC201" s="142"/>
      <c r="AD201" s="142"/>
      <c r="AE201" s="142"/>
      <c r="AF201" s="142"/>
      <c r="AG201" s="142"/>
      <c r="AH201" s="142"/>
      <c r="AI201" s="142"/>
      <c r="AJ201" s="142"/>
    </row>
    <row r="202" spans="2:36" ht="15.75">
      <c r="B202" s="130"/>
      <c r="C202" s="130"/>
      <c r="D202" s="130"/>
      <c r="E202" s="139"/>
      <c r="F202" s="132"/>
      <c r="G202" s="217"/>
      <c r="H202" s="132"/>
      <c r="I202" s="132"/>
      <c r="J202" s="132"/>
      <c r="K202" s="132"/>
      <c r="L202" s="132"/>
      <c r="M202" s="132"/>
      <c r="N202" s="132"/>
      <c r="O202" s="132"/>
      <c r="P202" s="132"/>
      <c r="Q202" s="132"/>
      <c r="R202" s="132"/>
      <c r="S202" s="132"/>
      <c r="T202" s="132"/>
      <c r="U202" s="132"/>
      <c r="V202" s="132"/>
      <c r="W202" s="132"/>
      <c r="X202" s="132"/>
      <c r="Y202" s="132"/>
      <c r="Z202" s="132"/>
      <c r="AA202" s="132"/>
      <c r="AB202" s="132"/>
      <c r="AC202" s="132"/>
      <c r="AD202" s="132"/>
      <c r="AE202" s="132"/>
      <c r="AF202" s="132"/>
      <c r="AG202" s="132"/>
      <c r="AH202" s="132"/>
      <c r="AI202" s="132"/>
      <c r="AJ202" s="132"/>
    </row>
    <row r="203" spans="2:36" ht="30">
      <c r="B203" s="225" t="s">
        <v>218</v>
      </c>
      <c r="C203" s="225"/>
      <c r="D203" s="225"/>
      <c r="E203" s="139"/>
      <c r="F203" s="132"/>
      <c r="G203" s="218" t="s">
        <v>219</v>
      </c>
      <c r="H203" s="132"/>
      <c r="I203" s="132"/>
      <c r="J203" s="139"/>
      <c r="K203" s="218" t="s">
        <v>219</v>
      </c>
      <c r="L203" s="132"/>
      <c r="M203" s="132"/>
      <c r="N203" s="139"/>
      <c r="O203" s="218" t="s">
        <v>219</v>
      </c>
      <c r="P203" s="132"/>
      <c r="Q203" s="132"/>
      <c r="R203" s="218" t="s">
        <v>221</v>
      </c>
      <c r="S203" s="218" t="s">
        <v>222</v>
      </c>
      <c r="T203" s="139"/>
      <c r="U203" s="139"/>
      <c r="V203" s="132"/>
      <c r="W203" s="132"/>
      <c r="X203" s="132"/>
      <c r="Y203" s="132"/>
      <c r="Z203" s="132"/>
      <c r="AA203" s="132"/>
      <c r="AB203" s="132"/>
      <c r="AC203" s="132"/>
      <c r="AD203" s="132"/>
      <c r="AE203" s="132"/>
      <c r="AF203" s="132"/>
      <c r="AG203" s="132"/>
      <c r="AH203" s="132"/>
      <c r="AI203" s="132"/>
      <c r="AJ203" s="132"/>
    </row>
    <row r="204" spans="2:36" ht="15.75">
      <c r="B204" s="130" t="s">
        <v>223</v>
      </c>
      <c r="C204" s="130"/>
      <c r="D204" s="130"/>
      <c r="E204" s="139"/>
      <c r="F204" s="132"/>
      <c r="G204" s="132">
        <f>$D$72</f>
        <v>3306.6338324424596</v>
      </c>
      <c r="H204" s="132"/>
      <c r="I204" s="132"/>
      <c r="J204" s="139"/>
      <c r="K204" s="132">
        <f>$D$72</f>
        <v>3306.6338324424596</v>
      </c>
      <c r="L204" s="132"/>
      <c r="M204" s="132"/>
      <c r="N204" s="139"/>
      <c r="O204" s="132">
        <f>$D$72</f>
        <v>3306.6338324424596</v>
      </c>
      <c r="P204" s="132"/>
      <c r="Q204" s="132"/>
      <c r="R204" s="219">
        <f>LOOKUP(MIN($P$205:$P$215),$O$205:$O$215,$N$205:$N$215)</f>
        <v>13.699999999999998</v>
      </c>
      <c r="S204" s="219">
        <f>LOOKUP(MAX($Q$205:$Q$215),$O$205:$O$215,$N$205:$N$215)</f>
        <v>13.799999999999997</v>
      </c>
      <c r="T204" s="261"/>
      <c r="U204" s="139"/>
      <c r="V204" s="132"/>
      <c r="W204" s="132"/>
      <c r="X204" s="132"/>
      <c r="Y204" s="132"/>
      <c r="Z204" s="132"/>
      <c r="AA204" s="132"/>
      <c r="AB204" s="132"/>
      <c r="AC204" s="132"/>
      <c r="AD204" s="132"/>
      <c r="AE204" s="132"/>
      <c r="AF204" s="132"/>
      <c r="AG204" s="132"/>
      <c r="AH204" s="132"/>
      <c r="AI204" s="132"/>
      <c r="AJ204" s="132"/>
    </row>
    <row r="205" spans="2:36" ht="15.75">
      <c r="B205" s="130"/>
      <c r="C205" s="130"/>
      <c r="D205" s="130"/>
      <c r="E205" s="139"/>
      <c r="F205" s="220">
        <v>0</v>
      </c>
      <c r="G205" s="132">
        <f t="dataTable" ref="G205:G215" dt2D="0" dtr="0" r1="G72"/>
        <v>-1870197.6378211414</v>
      </c>
      <c r="H205" s="132"/>
      <c r="I205" s="132"/>
      <c r="J205" s="221">
        <f>LOOKUP(MIN($H$205:$H$215),$G$205:$G$215,$F$205:$F$215)</f>
        <v>10</v>
      </c>
      <c r="K205" s="132">
        <f t="dataTable" ref="K205:K215" dt2D="0" dtr="0" r1="G72"/>
        <v>-507649.076618535</v>
      </c>
      <c r="L205" s="132"/>
      <c r="M205" s="132"/>
      <c r="N205" s="221">
        <f>LOOKUP(MIN($L$205:$L$215),$K$205:$K$215,$J$205:$J$215)</f>
        <v>13</v>
      </c>
      <c r="O205" s="132">
        <f t="dataTable" ref="O205:O215" dt2D="0" dtr="0" r1="G72"/>
        <v>-98884.50825775244</v>
      </c>
      <c r="P205" s="132"/>
      <c r="Q205" s="132"/>
      <c r="R205" s="132"/>
      <c r="S205" s="132"/>
      <c r="T205" s="132"/>
      <c r="U205" s="132"/>
      <c r="V205" s="132"/>
      <c r="W205" s="132"/>
      <c r="X205" s="132"/>
      <c r="Y205" s="132"/>
      <c r="Z205" s="132"/>
      <c r="AA205" s="132"/>
      <c r="AB205" s="132"/>
      <c r="AC205" s="132"/>
      <c r="AD205" s="132"/>
      <c r="AE205" s="132"/>
      <c r="AF205" s="132"/>
      <c r="AG205" s="132"/>
      <c r="AH205" s="132"/>
      <c r="AI205" s="132"/>
      <c r="AJ205" s="132"/>
    </row>
    <row r="206" spans="2:36" ht="15.75">
      <c r="B206" s="139"/>
      <c r="C206" s="139"/>
      <c r="D206" s="139"/>
      <c r="E206" s="139"/>
      <c r="F206" s="220">
        <v>10</v>
      </c>
      <c r="G206" s="132">
        <v>-507649.076618535</v>
      </c>
      <c r="H206" s="132">
        <f aca="true" t="shared" si="60" ref="H206:H215">IF(AND($G206&lt;0,$G207&gt;0),$G206,"")</f>
        <v>-507649.076618535</v>
      </c>
      <c r="I206" s="132">
        <f aca="true" t="shared" si="61" ref="I206:I215">IF(AND($G206&gt;0,$G205&lt;0),$G206,"")</f>
      </c>
      <c r="J206" s="221">
        <f>J205+1</f>
        <v>11</v>
      </c>
      <c r="K206" s="132">
        <v>-371394.22049827414</v>
      </c>
      <c r="L206" s="132">
        <f aca="true" t="shared" si="62" ref="L206:L215">IF(AND($K206&lt;0,$K207&gt;0),$K206,"")</f>
      </c>
      <c r="M206" s="132">
        <f aca="true" t="shared" si="63" ref="M206:M215">IF(AND($K206&gt;0,$K205&lt;0),$K206,"")</f>
      </c>
      <c r="N206" s="221">
        <f>N205+0.1</f>
        <v>13.1</v>
      </c>
      <c r="O206" s="132">
        <v>-85259.0226457265</v>
      </c>
      <c r="P206" s="132">
        <f>IF(AND($O206&lt;0,$O207&gt;0),$O206,"")</f>
      </c>
      <c r="Q206" s="132">
        <f>IF(AND($O206&gt;0,$O205&lt;0),$O206,"")</f>
      </c>
      <c r="R206" s="132"/>
      <c r="S206" s="132"/>
      <c r="T206" s="132"/>
      <c r="U206" s="132"/>
      <c r="V206" s="132"/>
      <c r="W206" s="132"/>
      <c r="X206" s="132"/>
      <c r="Y206" s="132"/>
      <c r="Z206" s="132"/>
      <c r="AA206" s="132"/>
      <c r="AB206" s="132"/>
      <c r="AC206" s="132"/>
      <c r="AD206" s="132"/>
      <c r="AE206" s="132"/>
      <c r="AF206" s="132"/>
      <c r="AG206" s="132"/>
      <c r="AH206" s="132"/>
      <c r="AI206" s="132"/>
      <c r="AJ206" s="132"/>
    </row>
    <row r="207" spans="2:36" ht="15.75">
      <c r="B207" s="139"/>
      <c r="C207" s="139"/>
      <c r="D207" s="139"/>
      <c r="E207" s="139"/>
      <c r="F207" s="220">
        <v>20</v>
      </c>
      <c r="G207" s="132">
        <v>854899.4845840725</v>
      </c>
      <c r="H207" s="132">
        <f t="shared" si="60"/>
      </c>
      <c r="I207" s="132">
        <f t="shared" si="61"/>
        <v>854899.4845840725</v>
      </c>
      <c r="J207" s="221">
        <f aca="true" t="shared" si="64" ref="J207:J214">J206+1</f>
        <v>12</v>
      </c>
      <c r="K207" s="132">
        <v>-235139.3643780136</v>
      </c>
      <c r="L207" s="132">
        <f t="shared" si="62"/>
      </c>
      <c r="M207" s="132">
        <f t="shared" si="63"/>
      </c>
      <c r="N207" s="221">
        <f aca="true" t="shared" si="65" ref="N207:N214">N206+0.1</f>
        <v>13.2</v>
      </c>
      <c r="O207" s="132">
        <v>-71633.53703370063</v>
      </c>
      <c r="P207" s="132">
        <f aca="true" t="shared" si="66" ref="P207:P215">IF(AND($O207&lt;0,$O208&gt;0),$O207,"")</f>
      </c>
      <c r="Q207" s="132">
        <f aca="true" t="shared" si="67" ref="Q207:Q215">IF(AND($O207&gt;0,$O206&lt;0),$O207,"")</f>
      </c>
      <c r="R207" s="132"/>
      <c r="S207" s="132"/>
      <c r="T207" s="132"/>
      <c r="U207" s="132"/>
      <c r="V207" s="132"/>
      <c r="W207" s="132"/>
      <c r="X207" s="132"/>
      <c r="Y207" s="132"/>
      <c r="Z207" s="132"/>
      <c r="AA207" s="132"/>
      <c r="AB207" s="132"/>
      <c r="AC207" s="132"/>
      <c r="AD207" s="132"/>
      <c r="AE207" s="132"/>
      <c r="AF207" s="132"/>
      <c r="AG207" s="132"/>
      <c r="AH207" s="132"/>
      <c r="AI207" s="132"/>
      <c r="AJ207" s="132"/>
    </row>
    <row r="208" spans="2:36" ht="15.75">
      <c r="B208" s="139"/>
      <c r="C208" s="139"/>
      <c r="D208" s="139"/>
      <c r="E208" s="139"/>
      <c r="F208" s="220">
        <v>30</v>
      </c>
      <c r="G208" s="132">
        <v>2217448.04578668</v>
      </c>
      <c r="H208" s="132">
        <f t="shared" si="60"/>
      </c>
      <c r="I208" s="132">
        <f t="shared" si="61"/>
      </c>
      <c r="J208" s="221">
        <f t="shared" si="64"/>
        <v>13</v>
      </c>
      <c r="K208" s="132">
        <v>-98884.50825775244</v>
      </c>
      <c r="L208" s="132">
        <f>IF(AND($K208&lt;0,$K209&gt;0),$K208,"")</f>
        <v>-98884.50825775244</v>
      </c>
      <c r="M208" s="132">
        <f t="shared" si="63"/>
      </c>
      <c r="N208" s="221">
        <f t="shared" si="65"/>
        <v>13.299999999999999</v>
      </c>
      <c r="O208" s="132">
        <v>-58008.051421674594</v>
      </c>
      <c r="P208" s="132">
        <f t="shared" si="66"/>
      </c>
      <c r="Q208" s="132">
        <f t="shared" si="67"/>
      </c>
      <c r="R208" s="132"/>
      <c r="S208" s="132"/>
      <c r="T208" s="132"/>
      <c r="U208" s="132"/>
      <c r="V208" s="132"/>
      <c r="W208" s="132"/>
      <c r="X208" s="132"/>
      <c r="Y208" s="132"/>
      <c r="Z208" s="132"/>
      <c r="AA208" s="132"/>
      <c r="AB208" s="132"/>
      <c r="AC208" s="132"/>
      <c r="AD208" s="132"/>
      <c r="AE208" s="132"/>
      <c r="AF208" s="132"/>
      <c r="AG208" s="132"/>
      <c r="AH208" s="132"/>
      <c r="AI208" s="132"/>
      <c r="AJ208" s="132"/>
    </row>
    <row r="209" spans="2:36" ht="15.75">
      <c r="B209" s="139"/>
      <c r="C209" s="139"/>
      <c r="D209" s="139"/>
      <c r="E209" s="139"/>
      <c r="F209" s="220">
        <v>40</v>
      </c>
      <c r="G209" s="132">
        <v>3579996.606989287</v>
      </c>
      <c r="H209" s="132">
        <f t="shared" si="60"/>
      </c>
      <c r="I209" s="132">
        <f t="shared" si="61"/>
      </c>
      <c r="J209" s="221">
        <f t="shared" si="64"/>
        <v>14</v>
      </c>
      <c r="K209" s="132">
        <v>37370.34786250828</v>
      </c>
      <c r="L209" s="132">
        <f t="shared" si="62"/>
      </c>
      <c r="M209" s="132">
        <f t="shared" si="63"/>
        <v>37370.34786250828</v>
      </c>
      <c r="N209" s="221">
        <f t="shared" si="65"/>
        <v>13.399999999999999</v>
      </c>
      <c r="O209" s="132">
        <v>-44382.565809648426</v>
      </c>
      <c r="P209" s="132">
        <f t="shared" si="66"/>
      </c>
      <c r="Q209" s="132">
        <f t="shared" si="67"/>
      </c>
      <c r="R209" s="132"/>
      <c r="S209" s="132"/>
      <c r="T209" s="132"/>
      <c r="U209" s="132"/>
      <c r="V209" s="132"/>
      <c r="W209" s="132"/>
      <c r="X209" s="132"/>
      <c r="Y209" s="132"/>
      <c r="Z209" s="132"/>
      <c r="AA209" s="132"/>
      <c r="AB209" s="132"/>
      <c r="AC209" s="132"/>
      <c r="AD209" s="132"/>
      <c r="AE209" s="132"/>
      <c r="AF209" s="132"/>
      <c r="AG209" s="132"/>
      <c r="AH209" s="132"/>
      <c r="AI209" s="132"/>
      <c r="AJ209" s="132"/>
    </row>
    <row r="210" spans="2:36" ht="15.75">
      <c r="B210" s="139"/>
      <c r="C210" s="139"/>
      <c r="D210" s="139"/>
      <c r="E210" s="139"/>
      <c r="F210" s="220">
        <v>50</v>
      </c>
      <c r="G210" s="132">
        <v>4942545.168191894</v>
      </c>
      <c r="H210" s="132">
        <f t="shared" si="60"/>
      </c>
      <c r="I210" s="132">
        <f t="shared" si="61"/>
      </c>
      <c r="J210" s="221">
        <f t="shared" si="64"/>
        <v>15</v>
      </c>
      <c r="K210" s="132">
        <v>173625.20398276878</v>
      </c>
      <c r="L210" s="132">
        <f t="shared" si="62"/>
      </c>
      <c r="M210" s="132">
        <f t="shared" si="63"/>
      </c>
      <c r="N210" s="221">
        <f t="shared" si="65"/>
        <v>13.499999999999998</v>
      </c>
      <c r="O210" s="132">
        <v>-30757.08019762239</v>
      </c>
      <c r="P210" s="132">
        <f t="shared" si="66"/>
      </c>
      <c r="Q210" s="132">
        <f t="shared" si="67"/>
      </c>
      <c r="R210" s="132"/>
      <c r="S210" s="132"/>
      <c r="T210" s="132"/>
      <c r="U210" s="132"/>
      <c r="V210" s="132"/>
      <c r="W210" s="132"/>
      <c r="X210" s="132"/>
      <c r="Y210" s="132"/>
      <c r="Z210" s="132"/>
      <c r="AA210" s="132"/>
      <c r="AB210" s="132"/>
      <c r="AC210" s="132"/>
      <c r="AD210" s="132"/>
      <c r="AE210" s="132"/>
      <c r="AF210" s="132"/>
      <c r="AG210" s="132"/>
      <c r="AH210" s="132"/>
      <c r="AI210" s="132"/>
      <c r="AJ210" s="132"/>
    </row>
    <row r="211" spans="2:36" ht="15.75">
      <c r="B211" s="139"/>
      <c r="C211" s="139"/>
      <c r="D211" s="139"/>
      <c r="E211" s="139"/>
      <c r="F211" s="220">
        <v>60</v>
      </c>
      <c r="G211" s="132">
        <v>6305093.729394502</v>
      </c>
      <c r="H211" s="132">
        <f t="shared" si="60"/>
      </c>
      <c r="I211" s="132">
        <f t="shared" si="61"/>
      </c>
      <c r="J211" s="221">
        <f t="shared" si="64"/>
        <v>16</v>
      </c>
      <c r="K211" s="132">
        <v>309880.0601030298</v>
      </c>
      <c r="L211" s="132">
        <f t="shared" si="62"/>
      </c>
      <c r="M211" s="132">
        <f t="shared" si="63"/>
      </c>
      <c r="N211" s="221">
        <f t="shared" si="65"/>
        <v>13.599999999999998</v>
      </c>
      <c r="O211" s="132">
        <v>-17131.594585596507</v>
      </c>
      <c r="P211" s="132">
        <f t="shared" si="66"/>
      </c>
      <c r="Q211" s="132">
        <f t="shared" si="67"/>
      </c>
      <c r="R211" s="132"/>
      <c r="S211" s="132"/>
      <c r="T211" s="132"/>
      <c r="U211" s="132"/>
      <c r="V211" s="132"/>
      <c r="W211" s="132"/>
      <c r="X211" s="132"/>
      <c r="Y211" s="132"/>
      <c r="Z211" s="132"/>
      <c r="AA211" s="132"/>
      <c r="AB211" s="132"/>
      <c r="AC211" s="132"/>
      <c r="AD211" s="132"/>
      <c r="AE211" s="132"/>
      <c r="AF211" s="132"/>
      <c r="AG211" s="132"/>
      <c r="AH211" s="132"/>
      <c r="AI211" s="132"/>
      <c r="AJ211" s="132"/>
    </row>
    <row r="212" spans="2:36" ht="15.75">
      <c r="B212" s="139"/>
      <c r="C212" s="139"/>
      <c r="D212" s="139"/>
      <c r="E212" s="139"/>
      <c r="F212" s="220">
        <v>70</v>
      </c>
      <c r="G212" s="132">
        <v>7667642.290597111</v>
      </c>
      <c r="H212" s="132">
        <f t="shared" si="60"/>
      </c>
      <c r="I212" s="132">
        <f t="shared" si="61"/>
      </c>
      <c r="J212" s="221">
        <f t="shared" si="64"/>
        <v>17</v>
      </c>
      <c r="K212" s="132">
        <v>446134.9162232905</v>
      </c>
      <c r="L212" s="132">
        <f t="shared" si="62"/>
      </c>
      <c r="M212" s="132">
        <f t="shared" si="63"/>
      </c>
      <c r="N212" s="221">
        <f t="shared" si="65"/>
        <v>13.699999999999998</v>
      </c>
      <c r="O212" s="132">
        <v>-3506.1089735705546</v>
      </c>
      <c r="P212" s="132">
        <f t="shared" si="66"/>
        <v>-3506.1089735705546</v>
      </c>
      <c r="Q212" s="132">
        <f t="shared" si="67"/>
      </c>
      <c r="R212" s="132"/>
      <c r="S212" s="132"/>
      <c r="T212" s="132"/>
      <c r="U212" s="132"/>
      <c r="V212" s="132"/>
      <c r="W212" s="132"/>
      <c r="X212" s="132"/>
      <c r="Y212" s="132"/>
      <c r="Z212" s="132"/>
      <c r="AA212" s="132"/>
      <c r="AB212" s="132"/>
      <c r="AC212" s="132"/>
      <c r="AD212" s="132"/>
      <c r="AE212" s="132"/>
      <c r="AF212" s="132"/>
      <c r="AG212" s="132"/>
      <c r="AH212" s="132"/>
      <c r="AI212" s="132"/>
      <c r="AJ212" s="132"/>
    </row>
    <row r="213" spans="2:36" ht="15.75">
      <c r="B213" s="139"/>
      <c r="C213" s="139"/>
      <c r="D213" s="139"/>
      <c r="E213" s="139"/>
      <c r="F213" s="220">
        <v>80</v>
      </c>
      <c r="G213" s="132">
        <v>9030190.851799717</v>
      </c>
      <c r="H213" s="132">
        <f t="shared" si="60"/>
      </c>
      <c r="I213" s="132">
        <f t="shared" si="61"/>
      </c>
      <c r="J213" s="221">
        <f t="shared" si="64"/>
        <v>18</v>
      </c>
      <c r="K213" s="132">
        <v>582389.772343551</v>
      </c>
      <c r="L213" s="132">
        <f t="shared" si="62"/>
      </c>
      <c r="M213" s="132">
        <f t="shared" si="63"/>
      </c>
      <c r="N213" s="221">
        <f t="shared" si="65"/>
        <v>13.799999999999997</v>
      </c>
      <c r="O213" s="132">
        <v>10119.376638455422</v>
      </c>
      <c r="P213" s="132">
        <f t="shared" si="66"/>
      </c>
      <c r="Q213" s="132">
        <f t="shared" si="67"/>
        <v>10119.376638455422</v>
      </c>
      <c r="R213" s="132"/>
      <c r="S213" s="132"/>
      <c r="T213" s="132"/>
      <c r="U213" s="132"/>
      <c r="V213" s="132"/>
      <c r="W213" s="132"/>
      <c r="X213" s="132"/>
      <c r="Y213" s="132"/>
      <c r="Z213" s="132"/>
      <c r="AA213" s="132"/>
      <c r="AB213" s="132"/>
      <c r="AC213" s="132"/>
      <c r="AD213" s="132"/>
      <c r="AE213" s="132"/>
      <c r="AF213" s="132"/>
      <c r="AG213" s="132"/>
      <c r="AH213" s="132"/>
      <c r="AI213" s="132"/>
      <c r="AJ213" s="132"/>
    </row>
    <row r="214" spans="2:36" ht="15.75">
      <c r="B214" s="139"/>
      <c r="C214" s="139"/>
      <c r="D214" s="139"/>
      <c r="E214" s="139"/>
      <c r="F214" s="220">
        <v>90</v>
      </c>
      <c r="G214" s="132">
        <v>10392739.413002321</v>
      </c>
      <c r="H214" s="132">
        <f t="shared" si="60"/>
      </c>
      <c r="I214" s="132">
        <f t="shared" si="61"/>
      </c>
      <c r="J214" s="221">
        <f t="shared" si="64"/>
        <v>19</v>
      </c>
      <c r="K214" s="132">
        <v>718644.6284638116</v>
      </c>
      <c r="L214" s="132">
        <f t="shared" si="62"/>
      </c>
      <c r="M214" s="132">
        <f t="shared" si="63"/>
      </c>
      <c r="N214" s="221">
        <f t="shared" si="65"/>
        <v>13.899999999999997</v>
      </c>
      <c r="O214" s="132">
        <v>23744.862250481405</v>
      </c>
      <c r="P214" s="132">
        <f t="shared" si="66"/>
      </c>
      <c r="Q214" s="132">
        <f t="shared" si="67"/>
      </c>
      <c r="R214" s="132"/>
      <c r="S214" s="132"/>
      <c r="T214" s="132"/>
      <c r="U214" s="132"/>
      <c r="V214" s="132"/>
      <c r="W214" s="132"/>
      <c r="X214" s="132"/>
      <c r="Y214" s="132"/>
      <c r="Z214" s="132"/>
      <c r="AA214" s="132"/>
      <c r="AB214" s="132"/>
      <c r="AC214" s="132"/>
      <c r="AD214" s="132"/>
      <c r="AE214" s="132"/>
      <c r="AF214" s="132"/>
      <c r="AG214" s="132"/>
      <c r="AH214" s="132"/>
      <c r="AI214" s="132"/>
      <c r="AJ214" s="132"/>
    </row>
    <row r="215" spans="2:36" ht="15.75">
      <c r="B215" s="139"/>
      <c r="C215" s="139"/>
      <c r="D215" s="139"/>
      <c r="E215" s="139"/>
      <c r="F215" s="220">
        <v>100</v>
      </c>
      <c r="G215" s="132">
        <v>11755287.974204931</v>
      </c>
      <c r="H215" s="132">
        <f t="shared" si="60"/>
      </c>
      <c r="I215" s="132">
        <f t="shared" si="61"/>
      </c>
      <c r="J215" s="221">
        <f>LOOKUP(MAX($I$205:$I$215),$G$205:$G$215,$F$205:$F$215)</f>
        <v>20</v>
      </c>
      <c r="K215" s="132">
        <v>854899.4845840725</v>
      </c>
      <c r="L215" s="132">
        <f t="shared" si="62"/>
      </c>
      <c r="M215" s="132">
        <f t="shared" si="63"/>
      </c>
      <c r="N215" s="221">
        <f>LOOKUP(MAX($M$205:$M$215),$K$205:$K$215,$J$205:$J$215)</f>
        <v>14</v>
      </c>
      <c r="O215" s="132">
        <v>37370.34786250828</v>
      </c>
      <c r="P215" s="132">
        <f t="shared" si="66"/>
      </c>
      <c r="Q215" s="132">
        <f t="shared" si="67"/>
      </c>
      <c r="R215" s="132"/>
      <c r="S215" s="132"/>
      <c r="T215" s="132"/>
      <c r="U215" s="132"/>
      <c r="V215" s="132"/>
      <c r="W215" s="132"/>
      <c r="X215" s="132"/>
      <c r="Y215" s="132"/>
      <c r="Z215" s="132"/>
      <c r="AA215" s="132"/>
      <c r="AB215" s="132"/>
      <c r="AC215" s="132"/>
      <c r="AD215" s="132"/>
      <c r="AE215" s="132"/>
      <c r="AF215" s="132"/>
      <c r="AG215" s="132"/>
      <c r="AH215" s="132"/>
      <c r="AI215" s="132"/>
      <c r="AJ215" s="132"/>
    </row>
    <row r="216" spans="2:36" ht="15.75" thickBot="1">
      <c r="B216" s="141"/>
      <c r="C216" s="141"/>
      <c r="D216" s="141"/>
      <c r="E216" s="141"/>
      <c r="F216" s="224"/>
      <c r="G216" s="141"/>
      <c r="H216" s="141"/>
      <c r="I216" s="141"/>
      <c r="J216" s="141"/>
      <c r="K216" s="141"/>
      <c r="L216" s="141"/>
      <c r="M216" s="141"/>
      <c r="N216" s="141"/>
      <c r="O216" s="141"/>
      <c r="P216" s="141"/>
      <c r="Q216" s="141"/>
      <c r="R216" s="141"/>
      <c r="S216" s="141"/>
      <c r="T216" s="141"/>
      <c r="U216" s="141"/>
      <c r="V216" s="141"/>
      <c r="W216" s="141"/>
      <c r="X216" s="141"/>
      <c r="Y216" s="141"/>
      <c r="Z216" s="141"/>
      <c r="AA216" s="141"/>
      <c r="AB216" s="141"/>
      <c r="AC216" s="141"/>
      <c r="AD216" s="141"/>
      <c r="AE216" s="141"/>
      <c r="AF216" s="141"/>
      <c r="AG216" s="141"/>
      <c r="AH216" s="141"/>
      <c r="AI216" s="141"/>
      <c r="AJ216" s="141"/>
    </row>
    <row r="217" s="222" customFormat="1" ht="15">
      <c r="F217" s="223"/>
    </row>
    <row r="218" ht="15">
      <c r="F218" s="216"/>
    </row>
    <row r="219" ht="15">
      <c r="F219" s="216"/>
    </row>
    <row r="220" ht="15">
      <c r="F220" s="216"/>
    </row>
    <row r="221" ht="15">
      <c r="F221" s="216"/>
    </row>
    <row r="222" ht="15">
      <c r="F222" s="216"/>
    </row>
    <row r="223" ht="15">
      <c r="F223" s="216"/>
    </row>
    <row r="224" ht="15">
      <c r="F224" s="216"/>
    </row>
    <row r="225" ht="15">
      <c r="F225" s="216"/>
    </row>
    <row r="226" ht="15">
      <c r="F226" s="216"/>
    </row>
    <row r="227" ht="15">
      <c r="F227" s="216"/>
    </row>
    <row r="228" ht="15">
      <c r="F228" s="216"/>
    </row>
  </sheetData>
  <sheetProtection/>
  <mergeCells count="3">
    <mergeCell ref="C96:E96"/>
    <mergeCell ref="B70:C70"/>
    <mergeCell ref="B72:C72"/>
  </mergeCells>
  <printOptions/>
  <pageMargins left="0.7" right="0.7" top="0.75" bottom="0.75" header="0.3" footer="0.3"/>
  <pageSetup fitToHeight="3" fitToWidth="3" horizontalDpi="600" verticalDpi="600" orientation="landscape" scale="47" r:id="rId3"/>
  <headerFooter>
    <oddHeader>&amp;L&amp;F
Worksheet: &amp;A
&amp;D</oddHeader>
    <oddFooter>&amp;C&amp;P of &amp;N</oddFooter>
  </headerFooter>
  <ignoredErrors>
    <ignoredError sqref="D108 E107" 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3:AA17"/>
  <sheetViews>
    <sheetView showGridLines="0" zoomScalePageLayoutView="70" workbookViewId="0" topLeftCell="A1">
      <selection activeCell="D23" sqref="D23"/>
    </sheetView>
  </sheetViews>
  <sheetFormatPr defaultColWidth="9.140625" defaultRowHeight="15"/>
  <cols>
    <col min="1" max="1" width="4.57421875" style="0" customWidth="1"/>
    <col min="2" max="2" width="34.140625" style="0" customWidth="1"/>
    <col min="3" max="3" width="14.140625" style="0" bestFit="1" customWidth="1"/>
    <col min="4" max="28" width="11.8515625" style="0" customWidth="1"/>
  </cols>
  <sheetData>
    <row r="3" ht="15">
      <c r="B3" s="486" t="s">
        <v>319</v>
      </c>
    </row>
    <row r="4" spans="2:3" ht="15">
      <c r="B4" t="s">
        <v>320</v>
      </c>
      <c r="C4" s="488">
        <f>'Input Assumptions'!D10</f>
        <v>0.02</v>
      </c>
    </row>
    <row r="5" ht="15">
      <c r="C5" s="488"/>
    </row>
    <row r="6" ht="15">
      <c r="C6" t="s">
        <v>325</v>
      </c>
    </row>
    <row r="7" spans="2:27" ht="19.5" thickBot="1">
      <c r="B7" s="490" t="s">
        <v>339</v>
      </c>
      <c r="C7">
        <v>2018</v>
      </c>
      <c r="D7">
        <v>2019</v>
      </c>
      <c r="E7">
        <v>2020</v>
      </c>
      <c r="F7">
        <v>2021</v>
      </c>
      <c r="G7">
        <v>2022</v>
      </c>
      <c r="H7">
        <v>2023</v>
      </c>
      <c r="I7">
        <v>2024</v>
      </c>
      <c r="J7">
        <v>2025</v>
      </c>
      <c r="K7">
        <v>2026</v>
      </c>
      <c r="L7">
        <v>2027</v>
      </c>
      <c r="M7">
        <v>2028</v>
      </c>
      <c r="N7">
        <v>2029</v>
      </c>
      <c r="O7">
        <v>2030</v>
      </c>
      <c r="P7">
        <v>2031</v>
      </c>
      <c r="Q7">
        <v>2032</v>
      </c>
      <c r="R7">
        <v>2033</v>
      </c>
      <c r="S7">
        <v>2034</v>
      </c>
      <c r="T7">
        <v>2035</v>
      </c>
      <c r="U7">
        <v>2036</v>
      </c>
      <c r="V7">
        <v>2037</v>
      </c>
      <c r="W7">
        <v>2038</v>
      </c>
      <c r="X7">
        <v>2039</v>
      </c>
      <c r="Y7">
        <v>2040</v>
      </c>
      <c r="Z7">
        <v>2041</v>
      </c>
      <c r="AA7">
        <v>2042</v>
      </c>
    </row>
    <row r="8" spans="1:27" ht="20.25" customHeight="1">
      <c r="A8" s="537"/>
      <c r="B8" s="536" t="s">
        <v>321</v>
      </c>
      <c r="C8" s="487">
        <f>AVERAGE('ComEd C&amp;I Rates'!C5:C9)</f>
        <v>0.037616000000000004</v>
      </c>
      <c r="D8" s="487">
        <f>C8*(1+$C$4)</f>
        <v>0.038368320000000004</v>
      </c>
      <c r="E8" s="487">
        <f aca="true" t="shared" si="0" ref="E8:Q8">D8*(1+$C$4)</f>
        <v>0.03913568640000001</v>
      </c>
      <c r="F8" s="487">
        <f t="shared" si="0"/>
        <v>0.039918400128000006</v>
      </c>
      <c r="G8" s="487">
        <f t="shared" si="0"/>
        <v>0.04071676813056001</v>
      </c>
      <c r="H8" s="487">
        <f t="shared" si="0"/>
        <v>0.04153110349317121</v>
      </c>
      <c r="I8" s="487">
        <f t="shared" si="0"/>
        <v>0.042361725563034636</v>
      </c>
      <c r="J8" s="487">
        <f t="shared" si="0"/>
        <v>0.04320896007429533</v>
      </c>
      <c r="K8" s="487">
        <f t="shared" si="0"/>
        <v>0.044073139275781235</v>
      </c>
      <c r="L8" s="487">
        <f t="shared" si="0"/>
        <v>0.04495460206129686</v>
      </c>
      <c r="M8" s="487">
        <f t="shared" si="0"/>
        <v>0.045853694102522796</v>
      </c>
      <c r="N8" s="487">
        <f t="shared" si="0"/>
        <v>0.046770767984573254</v>
      </c>
      <c r="O8" s="487">
        <f t="shared" si="0"/>
        <v>0.04770618334426472</v>
      </c>
      <c r="P8" s="487">
        <f t="shared" si="0"/>
        <v>0.04866030701115002</v>
      </c>
      <c r="Q8" s="487">
        <f t="shared" si="0"/>
        <v>0.04963351315137302</v>
      </c>
      <c r="R8" s="487">
        <f aca="true" t="shared" si="1" ref="R8:AA8">Q8*(1+$C$4)</f>
        <v>0.050626183414400484</v>
      </c>
      <c r="S8" s="487">
        <f t="shared" si="1"/>
        <v>0.051638707082688494</v>
      </c>
      <c r="T8" s="487">
        <f t="shared" si="1"/>
        <v>0.052671481224342266</v>
      </c>
      <c r="U8" s="487">
        <f t="shared" si="1"/>
        <v>0.05372491084882911</v>
      </c>
      <c r="V8" s="487">
        <f t="shared" si="1"/>
        <v>0.054799409065805695</v>
      </c>
      <c r="W8" s="487">
        <f t="shared" si="1"/>
        <v>0.05589539724712181</v>
      </c>
      <c r="X8" s="487">
        <f t="shared" si="1"/>
        <v>0.05701330519206425</v>
      </c>
      <c r="Y8" s="487">
        <f t="shared" si="1"/>
        <v>0.05815357129590553</v>
      </c>
      <c r="Z8" s="487">
        <f t="shared" si="1"/>
        <v>0.059316642721823645</v>
      </c>
      <c r="AA8" s="487">
        <f t="shared" si="1"/>
        <v>0.060502975576260117</v>
      </c>
    </row>
    <row r="9" spans="1:27" ht="18" customHeight="1">
      <c r="A9" s="506"/>
      <c r="B9" s="527" t="s">
        <v>326</v>
      </c>
      <c r="C9" s="498">
        <f aca="true" t="shared" si="2" ref="C9:AA9">SUM(C8:C8)</f>
        <v>0.037616000000000004</v>
      </c>
      <c r="D9" s="498">
        <f t="shared" si="2"/>
        <v>0.038368320000000004</v>
      </c>
      <c r="E9" s="498">
        <f t="shared" si="2"/>
        <v>0.03913568640000001</v>
      </c>
      <c r="F9" s="498">
        <f t="shared" si="2"/>
        <v>0.039918400128000006</v>
      </c>
      <c r="G9" s="498">
        <f t="shared" si="2"/>
        <v>0.04071676813056001</v>
      </c>
      <c r="H9" s="498">
        <f t="shared" si="2"/>
        <v>0.04153110349317121</v>
      </c>
      <c r="I9" s="498">
        <f t="shared" si="2"/>
        <v>0.042361725563034636</v>
      </c>
      <c r="J9" s="498">
        <f t="shared" si="2"/>
        <v>0.04320896007429533</v>
      </c>
      <c r="K9" s="498">
        <f t="shared" si="2"/>
        <v>0.044073139275781235</v>
      </c>
      <c r="L9" s="498">
        <f t="shared" si="2"/>
        <v>0.04495460206129686</v>
      </c>
      <c r="M9" s="498">
        <f t="shared" si="2"/>
        <v>0.045853694102522796</v>
      </c>
      <c r="N9" s="498">
        <f t="shared" si="2"/>
        <v>0.046770767984573254</v>
      </c>
      <c r="O9" s="498">
        <f t="shared" si="2"/>
        <v>0.04770618334426472</v>
      </c>
      <c r="P9" s="498">
        <f t="shared" si="2"/>
        <v>0.04866030701115002</v>
      </c>
      <c r="Q9" s="498">
        <f t="shared" si="2"/>
        <v>0.04963351315137302</v>
      </c>
      <c r="R9" s="498">
        <f t="shared" si="2"/>
        <v>0.050626183414400484</v>
      </c>
      <c r="S9" s="498">
        <f t="shared" si="2"/>
        <v>0.051638707082688494</v>
      </c>
      <c r="T9" s="498">
        <f t="shared" si="2"/>
        <v>0.052671481224342266</v>
      </c>
      <c r="U9" s="498">
        <f t="shared" si="2"/>
        <v>0.05372491084882911</v>
      </c>
      <c r="V9" s="498">
        <f t="shared" si="2"/>
        <v>0.054799409065805695</v>
      </c>
      <c r="W9" s="498">
        <f t="shared" si="2"/>
        <v>0.05589539724712181</v>
      </c>
      <c r="X9" s="498">
        <f t="shared" si="2"/>
        <v>0.05701330519206425</v>
      </c>
      <c r="Y9" s="498">
        <f t="shared" si="2"/>
        <v>0.05815357129590553</v>
      </c>
      <c r="Z9" s="498">
        <f t="shared" si="2"/>
        <v>0.059316642721823645</v>
      </c>
      <c r="AA9" s="498">
        <f t="shared" si="2"/>
        <v>0.060502975576260117</v>
      </c>
    </row>
    <row r="10" spans="1:27" ht="18" customHeight="1">
      <c r="A10" s="506"/>
      <c r="B10" s="497"/>
      <c r="C10" s="498"/>
      <c r="D10" s="498"/>
      <c r="E10" s="498"/>
      <c r="F10" s="498"/>
      <c r="G10" s="498"/>
      <c r="H10" s="498"/>
      <c r="I10" s="498"/>
      <c r="J10" s="498"/>
      <c r="K10" s="498"/>
      <c r="L10" s="498"/>
      <c r="M10" s="498"/>
      <c r="N10" s="498"/>
      <c r="O10" s="498"/>
      <c r="P10" s="498"/>
      <c r="Q10" s="498"/>
      <c r="R10" s="498"/>
      <c r="S10" s="498"/>
      <c r="T10" s="498"/>
      <c r="U10" s="498"/>
      <c r="V10" s="498"/>
      <c r="W10" s="498"/>
      <c r="X10" s="498"/>
      <c r="Y10" s="498"/>
      <c r="Z10" s="498"/>
      <c r="AA10" s="498"/>
    </row>
    <row r="11" spans="1:27" ht="19.5" thickBot="1">
      <c r="A11" s="492"/>
      <c r="B11" s="490" t="s">
        <v>365</v>
      </c>
      <c r="C11">
        <v>2018</v>
      </c>
      <c r="D11">
        <v>2019</v>
      </c>
      <c r="E11">
        <v>2020</v>
      </c>
      <c r="F11">
        <v>2021</v>
      </c>
      <c r="G11">
        <v>2022</v>
      </c>
      <c r="H11">
        <v>2023</v>
      </c>
      <c r="I11">
        <v>2024</v>
      </c>
      <c r="J11">
        <v>2025</v>
      </c>
      <c r="K11">
        <v>2026</v>
      </c>
      <c r="L11">
        <v>2027</v>
      </c>
      <c r="M11">
        <v>2028</v>
      </c>
      <c r="N11">
        <v>2029</v>
      </c>
      <c r="O11">
        <v>2030</v>
      </c>
      <c r="P11">
        <v>2031</v>
      </c>
      <c r="Q11">
        <v>2032</v>
      </c>
      <c r="R11">
        <v>2033</v>
      </c>
      <c r="S11">
        <v>2034</v>
      </c>
      <c r="T11">
        <v>2035</v>
      </c>
      <c r="U11">
        <v>2036</v>
      </c>
      <c r="V11">
        <v>2037</v>
      </c>
      <c r="W11">
        <v>2038</v>
      </c>
      <c r="X11">
        <v>2039</v>
      </c>
      <c r="Y11">
        <v>2040</v>
      </c>
      <c r="Z11">
        <v>2041</v>
      </c>
      <c r="AA11">
        <v>2042</v>
      </c>
    </row>
    <row r="12" spans="1:27" ht="22.5" customHeight="1">
      <c r="A12" s="537"/>
      <c r="B12" s="536" t="s">
        <v>321</v>
      </c>
      <c r="C12" s="487">
        <f>AVERAGE('Ameren IL C&amp;I Rates'!C5:C9)</f>
        <v>0.03066</v>
      </c>
      <c r="D12" s="487">
        <f>C12*(1+$C$4)</f>
        <v>0.0312732</v>
      </c>
      <c r="E12" s="487">
        <f aca="true" t="shared" si="3" ref="E12:AA12">D12*(1+$C$4)</f>
        <v>0.031898664</v>
      </c>
      <c r="F12" s="487">
        <f t="shared" si="3"/>
        <v>0.03253663728</v>
      </c>
      <c r="G12" s="487">
        <f t="shared" si="3"/>
        <v>0.0331873700256</v>
      </c>
      <c r="H12" s="487">
        <f t="shared" si="3"/>
        <v>0.033851117426112</v>
      </c>
      <c r="I12" s="487">
        <f t="shared" si="3"/>
        <v>0.03452813977463424</v>
      </c>
      <c r="J12" s="487">
        <f t="shared" si="3"/>
        <v>0.03521870257012692</v>
      </c>
      <c r="K12" s="487">
        <f t="shared" si="3"/>
        <v>0.03592307662152946</v>
      </c>
      <c r="L12" s="487">
        <f t="shared" si="3"/>
        <v>0.03664153815396005</v>
      </c>
      <c r="M12" s="487">
        <f t="shared" si="3"/>
        <v>0.03737436891703925</v>
      </c>
      <c r="N12" s="487">
        <f t="shared" si="3"/>
        <v>0.038121856295380036</v>
      </c>
      <c r="O12" s="487">
        <f t="shared" si="3"/>
        <v>0.03888429342128764</v>
      </c>
      <c r="P12" s="487">
        <f t="shared" si="3"/>
        <v>0.03966197928971339</v>
      </c>
      <c r="Q12" s="487">
        <f t="shared" si="3"/>
        <v>0.04045521887550766</v>
      </c>
      <c r="R12" s="487">
        <f t="shared" si="3"/>
        <v>0.041264323253017814</v>
      </c>
      <c r="S12" s="487">
        <f t="shared" si="3"/>
        <v>0.04208960971807817</v>
      </c>
      <c r="T12" s="487">
        <f t="shared" si="3"/>
        <v>0.042931401912439736</v>
      </c>
      <c r="U12" s="487">
        <f t="shared" si="3"/>
        <v>0.04379002995068853</v>
      </c>
      <c r="V12" s="487">
        <f t="shared" si="3"/>
        <v>0.0446658305497023</v>
      </c>
      <c r="W12" s="487">
        <f t="shared" si="3"/>
        <v>0.045559147160696346</v>
      </c>
      <c r="X12" s="487">
        <f t="shared" si="3"/>
        <v>0.04647033010391027</v>
      </c>
      <c r="Y12" s="487">
        <f t="shared" si="3"/>
        <v>0.04739973670598848</v>
      </c>
      <c r="Z12" s="487">
        <f t="shared" si="3"/>
        <v>0.04834773144010825</v>
      </c>
      <c r="AA12" s="487">
        <f t="shared" si="3"/>
        <v>0.04931468606891042</v>
      </c>
    </row>
    <row r="13" spans="1:27" ht="18" customHeight="1">
      <c r="A13" s="506"/>
      <c r="B13" s="527" t="s">
        <v>326</v>
      </c>
      <c r="C13" s="498">
        <f aca="true" t="shared" si="4" ref="C13:AA13">SUM(C12:C12)</f>
        <v>0.03066</v>
      </c>
      <c r="D13" s="498">
        <f t="shared" si="4"/>
        <v>0.0312732</v>
      </c>
      <c r="E13" s="498">
        <f t="shared" si="4"/>
        <v>0.031898664</v>
      </c>
      <c r="F13" s="498">
        <f t="shared" si="4"/>
        <v>0.03253663728</v>
      </c>
      <c r="G13" s="498">
        <f t="shared" si="4"/>
        <v>0.0331873700256</v>
      </c>
      <c r="H13" s="498">
        <f t="shared" si="4"/>
        <v>0.033851117426112</v>
      </c>
      <c r="I13" s="498">
        <f t="shared" si="4"/>
        <v>0.03452813977463424</v>
      </c>
      <c r="J13" s="498">
        <f t="shared" si="4"/>
        <v>0.03521870257012692</v>
      </c>
      <c r="K13" s="498">
        <f t="shared" si="4"/>
        <v>0.03592307662152946</v>
      </c>
      <c r="L13" s="498">
        <f t="shared" si="4"/>
        <v>0.03664153815396005</v>
      </c>
      <c r="M13" s="498">
        <f t="shared" si="4"/>
        <v>0.03737436891703925</v>
      </c>
      <c r="N13" s="498">
        <f t="shared" si="4"/>
        <v>0.038121856295380036</v>
      </c>
      <c r="O13" s="498">
        <f t="shared" si="4"/>
        <v>0.03888429342128764</v>
      </c>
      <c r="P13" s="498">
        <f t="shared" si="4"/>
        <v>0.03966197928971339</v>
      </c>
      <c r="Q13" s="498">
        <f t="shared" si="4"/>
        <v>0.04045521887550766</v>
      </c>
      <c r="R13" s="498">
        <f t="shared" si="4"/>
        <v>0.041264323253017814</v>
      </c>
      <c r="S13" s="498">
        <f t="shared" si="4"/>
        <v>0.04208960971807817</v>
      </c>
      <c r="T13" s="498">
        <f t="shared" si="4"/>
        <v>0.042931401912439736</v>
      </c>
      <c r="U13" s="498">
        <f t="shared" si="4"/>
        <v>0.04379002995068853</v>
      </c>
      <c r="V13" s="498">
        <f t="shared" si="4"/>
        <v>0.0446658305497023</v>
      </c>
      <c r="W13" s="498">
        <f t="shared" si="4"/>
        <v>0.045559147160696346</v>
      </c>
      <c r="X13" s="498">
        <f t="shared" si="4"/>
        <v>0.04647033010391027</v>
      </c>
      <c r="Y13" s="498">
        <f t="shared" si="4"/>
        <v>0.04739973670598848</v>
      </c>
      <c r="Z13" s="498">
        <f t="shared" si="4"/>
        <v>0.04834773144010825</v>
      </c>
      <c r="AA13" s="498">
        <f t="shared" si="4"/>
        <v>0.04931468606891042</v>
      </c>
    </row>
    <row r="15" ht="15.75" customHeight="1">
      <c r="B15" s="490" t="s">
        <v>340</v>
      </c>
    </row>
    <row r="16" spans="1:27" ht="15" customHeight="1">
      <c r="A16" s="650"/>
      <c r="B16" s="527" t="s">
        <v>338</v>
      </c>
      <c r="C16" s="535">
        <f>C9*'Cash Flow'!G5</f>
        <v>136200.01280000003</v>
      </c>
      <c r="D16" s="535">
        <f>D9*'Cash Flow'!H5</f>
        <v>138229.39299072002</v>
      </c>
      <c r="E16" s="535">
        <f>E9*'Cash Flow'!I5</f>
        <v>140289.01094628175</v>
      </c>
      <c r="F16" s="535">
        <f>F9*'Cash Flow'!J5</f>
        <v>142379.31720938135</v>
      </c>
      <c r="G16" s="535">
        <f>G9*'Cash Flow'!K5</f>
        <v>144500.76903580115</v>
      </c>
      <c r="H16" s="535">
        <f>H9*'Cash Flow'!L5</f>
        <v>146653.8304944346</v>
      </c>
      <c r="I16" s="535">
        <f>I9*'Cash Flow'!M5</f>
        <v>148838.9725688017</v>
      </c>
      <c r="J16" s="535">
        <f>J9*'Cash Flow'!N5</f>
        <v>151056.67326007682</v>
      </c>
      <c r="K16" s="535">
        <f>K9*'Cash Flow'!O5</f>
        <v>153307.41769165196</v>
      </c>
      <c r="L16" s="535">
        <f>L9*'Cash Flow'!P5</f>
        <v>155591.69821525758</v>
      </c>
      <c r="M16" s="535">
        <f>M9*'Cash Flow'!Q5</f>
        <v>157910.0145186649</v>
      </c>
      <c r="N16" s="535">
        <f>N9*'Cash Flow'!R5</f>
        <v>160262.87373499302</v>
      </c>
      <c r="O16" s="535">
        <f>O9*'Cash Flow'!S5</f>
        <v>162650.7905536444</v>
      </c>
      <c r="P16" s="535">
        <f>P9*'Cash Flow'!T5</f>
        <v>165074.28733289373</v>
      </c>
      <c r="Q16" s="535">
        <f>Q9*'Cash Flow'!U5</f>
        <v>167533.89421415384</v>
      </c>
      <c r="R16" s="535">
        <f>R9*'Cash Flow'!V5</f>
        <v>170030.14923794474</v>
      </c>
      <c r="S16" s="535">
        <f>S9*'Cash Flow'!W5</f>
        <v>172563.5984615901</v>
      </c>
      <c r="T16" s="535">
        <f>T9*'Cash Flow'!X5</f>
        <v>175134.7960786678</v>
      </c>
      <c r="U16" s="535">
        <f>U9*'Cash Flow'!Y5</f>
        <v>177744.30454023997</v>
      </c>
      <c r="V16" s="535">
        <f>V9*'Cash Flow'!Z5</f>
        <v>180392.69467788952</v>
      </c>
      <c r="W16" s="535">
        <f>W9*'Cash Flow'!AA5</f>
        <v>183080.5458285901</v>
      </c>
      <c r="X16" s="535">
        <f>X9*'Cash Flow'!AB5</f>
        <v>185808.4459614361</v>
      </c>
      <c r="Y16" s="535">
        <f>Y9*'Cash Flow'!AC5</f>
        <v>188576.9918062615</v>
      </c>
      <c r="Z16" s="535">
        <f>Z9*'Cash Flow'!AD5</f>
        <v>191386.7889841748</v>
      </c>
      <c r="AA16" s="535">
        <f>AA9*'Cash Flow'!AE5</f>
        <v>194238.452140039</v>
      </c>
    </row>
    <row r="17" spans="1:27" ht="15">
      <c r="A17" s="650"/>
      <c r="B17" s="527" t="s">
        <v>364</v>
      </c>
      <c r="C17" s="535">
        <f>C13*'Cash Flow'!G5</f>
        <v>111013.728</v>
      </c>
      <c r="D17" s="535">
        <f>D13*'Cash Flow'!H5</f>
        <v>112667.8325472</v>
      </c>
      <c r="E17" s="535">
        <f>E13*'Cash Flow'!I5</f>
        <v>114346.58325215329</v>
      </c>
      <c r="F17" s="535">
        <f>F13*'Cash Flow'!J5</f>
        <v>116050.34734261037</v>
      </c>
      <c r="G17" s="535">
        <f>G13*'Cash Flow'!K5</f>
        <v>117779.49751801527</v>
      </c>
      <c r="H17" s="535">
        <f>H13*'Cash Flow'!L5</f>
        <v>119534.41203103369</v>
      </c>
      <c r="I17" s="535">
        <f>I13*'Cash Flow'!M5</f>
        <v>121315.4747702961</v>
      </c>
      <c r="J17" s="535">
        <f>J13*'Cash Flow'!N5</f>
        <v>123123.07534437349</v>
      </c>
      <c r="K17" s="535">
        <f>K13*'Cash Flow'!O5</f>
        <v>124957.60916700466</v>
      </c>
      <c r="L17" s="535">
        <f>L13*'Cash Flow'!P5</f>
        <v>126819.47754359302</v>
      </c>
      <c r="M17" s="535">
        <f>M13*'Cash Flow'!Q5</f>
        <v>128709.08775899255</v>
      </c>
      <c r="N17" s="535">
        <f>N13*'Cash Flow'!R5</f>
        <v>130626.85316660155</v>
      </c>
      <c r="O17" s="535">
        <f>O13*'Cash Flow'!S5</f>
        <v>132573.1932787839</v>
      </c>
      <c r="P17" s="535">
        <f>P13*'Cash Flow'!T5</f>
        <v>134548.5338586378</v>
      </c>
      <c r="Q17" s="535">
        <f>Q13*'Cash Flow'!U5</f>
        <v>136553.3070131315</v>
      </c>
      <c r="R17" s="535">
        <f>R13*'Cash Flow'!V5</f>
        <v>138587.95128762716</v>
      </c>
      <c r="S17" s="535">
        <f>S13*'Cash Flow'!W5</f>
        <v>140652.9117618128</v>
      </c>
      <c r="T17" s="535">
        <f>T13*'Cash Flow'!X5</f>
        <v>142748.64014706382</v>
      </c>
      <c r="U17" s="535">
        <f>U13*'Cash Flow'!Y5</f>
        <v>144875.59488525506</v>
      </c>
      <c r="V17" s="535">
        <f>V13*'Cash Flow'!Z5</f>
        <v>147034.24124904536</v>
      </c>
      <c r="W17" s="535">
        <f>W13*'Cash Flow'!AA5</f>
        <v>149225.05144365615</v>
      </c>
      <c r="X17" s="535">
        <f>X13*'Cash Flow'!AB5</f>
        <v>151448.50471016663</v>
      </c>
      <c r="Y17" s="535">
        <f>Y13*'Cash Flow'!AC5</f>
        <v>153705.08743034813</v>
      </c>
      <c r="Z17" s="535">
        <f>Z13*'Cash Flow'!AD5</f>
        <v>155995.2932330603</v>
      </c>
      <c r="AA17" s="535">
        <f>AA13*'Cash Flow'!AE5</f>
        <v>158319.62310223293</v>
      </c>
    </row>
  </sheetData>
  <sheetProtection/>
  <mergeCells count="1">
    <mergeCell ref="A16:A17"/>
  </mergeCells>
  <printOptions/>
  <pageMargins left="0.7" right="0.7" top="0.75" bottom="0.75" header="0.3" footer="0.3"/>
  <pageSetup fitToHeight="1" fitToWidth="1" horizontalDpi="600" verticalDpi="600" orientation="landscape" scale="36" r:id="rId1"/>
  <headerFooter>
    <oddHeader>&amp;L&amp;F
Worksheet: &amp;A
&amp;D</oddHeader>
    <oddFooter>&amp;C&amp;P of &amp;N</oddFooter>
  </headerFooter>
</worksheet>
</file>

<file path=xl/worksheets/sheet6.xml><?xml version="1.0" encoding="utf-8"?>
<worksheet xmlns="http://schemas.openxmlformats.org/spreadsheetml/2006/main" xmlns:r="http://schemas.openxmlformats.org/officeDocument/2006/relationships">
  <dimension ref="B3:I11"/>
  <sheetViews>
    <sheetView showGridLines="0" zoomScalePageLayoutView="0" workbookViewId="0" topLeftCell="A1">
      <selection activeCell="C24" sqref="C24"/>
    </sheetView>
  </sheetViews>
  <sheetFormatPr defaultColWidth="9.140625" defaultRowHeight="15"/>
  <cols>
    <col min="3" max="3" width="35.28125" style="0" customWidth="1"/>
  </cols>
  <sheetData>
    <row r="3" spans="2:9" ht="15">
      <c r="B3" s="651" t="s">
        <v>332</v>
      </c>
      <c r="C3" s="652"/>
      <c r="D3" s="525"/>
      <c r="E3" s="525"/>
      <c r="F3" s="525"/>
      <c r="G3" s="525"/>
      <c r="H3" s="525"/>
      <c r="I3" s="525"/>
    </row>
    <row r="4" spans="2:3" ht="15">
      <c r="B4" s="652"/>
      <c r="C4" s="652"/>
    </row>
    <row r="5" spans="2:3" ht="15">
      <c r="B5">
        <v>2012</v>
      </c>
      <c r="C5">
        <v>0.02836</v>
      </c>
    </row>
    <row r="6" spans="2:3" ht="15">
      <c r="B6">
        <v>2013</v>
      </c>
      <c r="C6">
        <v>0.03013</v>
      </c>
    </row>
    <row r="7" spans="2:3" ht="15">
      <c r="B7">
        <v>2014</v>
      </c>
      <c r="C7">
        <v>0.04064</v>
      </c>
    </row>
    <row r="8" spans="2:3" ht="15">
      <c r="B8">
        <v>2015</v>
      </c>
      <c r="C8">
        <v>0.02811</v>
      </c>
    </row>
    <row r="9" spans="2:3" ht="15">
      <c r="B9">
        <v>2016</v>
      </c>
      <c r="C9">
        <v>0.02606</v>
      </c>
    </row>
    <row r="11" spans="2:3" ht="15">
      <c r="B11" s="653" t="s">
        <v>347</v>
      </c>
      <c r="C11" s="653"/>
    </row>
  </sheetData>
  <sheetProtection/>
  <mergeCells count="2">
    <mergeCell ref="B3:C4"/>
    <mergeCell ref="B11:C11"/>
  </mergeCells>
  <printOptions/>
  <pageMargins left="0.7" right="0.7" top="0.75" bottom="0.75" header="0.3" footer="0.3"/>
  <pageSetup horizontalDpi="600" verticalDpi="600" orientation="landscape" r:id="rId1"/>
  <headerFooter>
    <oddHeader>&amp;L&amp;F
Worksheet:&amp;A
&amp;D</oddHeader>
    <oddFooter>&amp;C&amp;P of &amp;N</oddFooter>
  </headerFooter>
</worksheet>
</file>

<file path=xl/worksheets/sheet7.xml><?xml version="1.0" encoding="utf-8"?>
<worksheet xmlns="http://schemas.openxmlformats.org/spreadsheetml/2006/main" xmlns:r="http://schemas.openxmlformats.org/officeDocument/2006/relationships">
  <dimension ref="A1:O32"/>
  <sheetViews>
    <sheetView showGridLines="0" zoomScalePageLayoutView="0" workbookViewId="0" topLeftCell="A1">
      <selection activeCell="C29" sqref="C29"/>
    </sheetView>
  </sheetViews>
  <sheetFormatPr defaultColWidth="9.140625" defaultRowHeight="15"/>
  <cols>
    <col min="3" max="3" width="39.00390625" style="0" customWidth="1"/>
  </cols>
  <sheetData>
    <row r="1" spans="1:15" ht="15">
      <c r="A1" s="565"/>
      <c r="B1" s="566"/>
      <c r="C1" s="566"/>
      <c r="D1" s="566"/>
      <c r="E1" s="566"/>
      <c r="F1" s="566"/>
      <c r="G1" s="566"/>
      <c r="H1" s="566"/>
      <c r="I1" s="566"/>
      <c r="J1" s="566"/>
      <c r="K1" s="566"/>
      <c r="L1" s="566"/>
      <c r="M1" s="566"/>
      <c r="N1" s="566"/>
      <c r="O1" s="566"/>
    </row>
    <row r="3" spans="2:3" ht="15">
      <c r="B3" s="651" t="s">
        <v>332</v>
      </c>
      <c r="C3" s="652"/>
    </row>
    <row r="4" spans="2:3" ht="15">
      <c r="B4" s="652"/>
      <c r="C4" s="652"/>
    </row>
    <row r="5" spans="2:3" ht="15">
      <c r="B5">
        <v>2012</v>
      </c>
      <c r="C5">
        <v>0.03515</v>
      </c>
    </row>
    <row r="6" spans="2:3" ht="15">
      <c r="B6">
        <v>2013</v>
      </c>
      <c r="C6">
        <v>0.03687</v>
      </c>
    </row>
    <row r="7" spans="2:3" ht="15">
      <c r="B7">
        <v>2014</v>
      </c>
      <c r="C7">
        <v>0.04758</v>
      </c>
    </row>
    <row r="8" spans="2:3" ht="15">
      <c r="B8">
        <v>2015</v>
      </c>
      <c r="C8">
        <v>0.03333</v>
      </c>
    </row>
    <row r="9" spans="2:3" ht="15">
      <c r="B9">
        <v>2016</v>
      </c>
      <c r="C9">
        <v>0.03515</v>
      </c>
    </row>
    <row r="11" spans="2:3" ht="15">
      <c r="B11" s="653" t="s">
        <v>347</v>
      </c>
      <c r="C11" s="653"/>
    </row>
    <row r="22" spans="2:13" ht="15">
      <c r="B22" s="14"/>
      <c r="C22" s="14"/>
      <c r="D22" s="14"/>
      <c r="E22" s="14"/>
      <c r="F22" s="14"/>
      <c r="G22" s="14"/>
      <c r="H22" s="14"/>
      <c r="I22" s="14"/>
      <c r="J22" s="14"/>
      <c r="K22" s="14"/>
      <c r="L22" s="14"/>
      <c r="M22" s="14"/>
    </row>
    <row r="23" spans="2:13" ht="15">
      <c r="B23" s="14"/>
      <c r="C23" s="14"/>
      <c r="D23" s="14"/>
      <c r="E23" s="14"/>
      <c r="F23" s="14"/>
      <c r="G23" s="14"/>
      <c r="H23" s="14"/>
      <c r="I23" s="14"/>
      <c r="J23" s="14"/>
      <c r="K23" s="14"/>
      <c r="L23" s="14"/>
      <c r="M23" s="14"/>
    </row>
    <row r="24" spans="2:13" ht="15">
      <c r="B24" s="14"/>
      <c r="C24" s="14"/>
      <c r="D24" s="14"/>
      <c r="E24" s="14"/>
      <c r="F24" s="14"/>
      <c r="G24" s="14"/>
      <c r="H24" s="14"/>
      <c r="I24" s="14"/>
      <c r="J24" s="14"/>
      <c r="K24" s="14"/>
      <c r="L24" s="14"/>
      <c r="M24" s="14"/>
    </row>
    <row r="25" spans="2:13" ht="15">
      <c r="B25" s="14"/>
      <c r="C25" s="14"/>
      <c r="D25" s="14"/>
      <c r="E25" s="14"/>
      <c r="F25" s="14"/>
      <c r="G25" s="14"/>
      <c r="H25" s="14"/>
      <c r="I25" s="14"/>
      <c r="J25" s="14"/>
      <c r="K25" s="14"/>
      <c r="L25" s="14"/>
      <c r="M25" s="14"/>
    </row>
    <row r="26" spans="2:13" ht="15">
      <c r="B26" s="14"/>
      <c r="C26" s="654"/>
      <c r="D26" s="654"/>
      <c r="E26" s="654"/>
      <c r="F26" s="508"/>
      <c r="G26" s="509"/>
      <c r="H26" s="508"/>
      <c r="I26" s="14"/>
      <c r="J26" s="14"/>
      <c r="K26" s="14"/>
      <c r="L26" s="508"/>
      <c r="M26" s="14"/>
    </row>
    <row r="27" spans="2:13" ht="15">
      <c r="B27" s="14"/>
      <c r="C27" s="14"/>
      <c r="D27" s="14"/>
      <c r="E27" s="14"/>
      <c r="F27" s="508"/>
      <c r="G27" s="510"/>
      <c r="H27" s="14"/>
      <c r="I27" s="14"/>
      <c r="J27" s="14"/>
      <c r="K27" s="14"/>
      <c r="L27" s="14"/>
      <c r="M27" s="14"/>
    </row>
    <row r="28" spans="2:13" ht="15">
      <c r="B28" s="14"/>
      <c r="C28" s="14"/>
      <c r="D28" s="14"/>
      <c r="E28" s="14"/>
      <c r="F28" s="519"/>
      <c r="G28" s="500"/>
      <c r="H28" s="520"/>
      <c r="I28" s="14"/>
      <c r="J28" s="14"/>
      <c r="K28" s="14"/>
      <c r="L28" s="14"/>
      <c r="M28" s="14"/>
    </row>
    <row r="29" spans="2:13" ht="15">
      <c r="B29" s="14"/>
      <c r="C29" s="14"/>
      <c r="D29" s="14"/>
      <c r="E29" s="14"/>
      <c r="F29" s="14"/>
      <c r="G29" s="14"/>
      <c r="H29" s="14"/>
      <c r="I29" s="14"/>
      <c r="J29" s="14"/>
      <c r="K29" s="14"/>
      <c r="L29" s="14"/>
      <c r="M29" s="14"/>
    </row>
    <row r="30" spans="2:13" ht="15">
      <c r="B30" s="14"/>
      <c r="C30" s="14"/>
      <c r="D30" s="14"/>
      <c r="E30" s="14"/>
      <c r="F30" s="14"/>
      <c r="G30" s="14"/>
      <c r="H30" s="14"/>
      <c r="I30" s="14"/>
      <c r="J30" s="14"/>
      <c r="K30" s="14"/>
      <c r="L30" s="14"/>
      <c r="M30" s="14"/>
    </row>
    <row r="31" spans="2:13" ht="15">
      <c r="B31" s="14"/>
      <c r="C31" s="14"/>
      <c r="D31" s="14"/>
      <c r="E31" s="14"/>
      <c r="F31" s="14"/>
      <c r="G31" s="14"/>
      <c r="H31" s="14"/>
      <c r="I31" s="14"/>
      <c r="J31" s="14"/>
      <c r="K31" s="14"/>
      <c r="L31" s="14"/>
      <c r="M31" s="14"/>
    </row>
    <row r="32" spans="2:13" ht="15">
      <c r="B32" s="14"/>
      <c r="C32" s="14"/>
      <c r="D32" s="14"/>
      <c r="E32" s="14"/>
      <c r="F32" s="14"/>
      <c r="G32" s="14"/>
      <c r="H32" s="14"/>
      <c r="I32" s="14"/>
      <c r="J32" s="14"/>
      <c r="K32" s="14"/>
      <c r="L32" s="14"/>
      <c r="M32" s="14"/>
    </row>
  </sheetData>
  <sheetProtection/>
  <mergeCells count="3">
    <mergeCell ref="C26:E26"/>
    <mergeCell ref="B3:C4"/>
    <mergeCell ref="B11:C11"/>
  </mergeCells>
  <printOptions/>
  <pageMargins left="0.7" right="0.7" top="0.75" bottom="0.75" header="0.3" footer="0.3"/>
  <pageSetup horizontalDpi="600" verticalDpi="600" orientation="landscape" r:id="rId1"/>
  <headerFooter>
    <oddHeader>&amp;L&amp;F
Worksheet: &amp;A
&amp;D</oddHeader>
    <oddFooter>&amp;C&amp;P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2018-06-04T20:41:16Z</dcterms:created>
  <dcterms:modified xsi:type="dcterms:W3CDTF">2018-06-04T20:42:32Z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{4CFCEE12-AD50-470A-9C37-B2C461C027DE}</vt:lpwstr>
  </property>
</Properties>
</file>