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0" windowWidth="19320" windowHeight="10485"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s>
  <definedNames>
    <definedName name="_ftn1" localSheetId="1">'CREST Inputs'!$E$100</definedName>
    <definedName name="_ftnref1" localSheetId="1">'CREST Inputs'!$E$88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1.xml><?xml version="1.0" encoding="utf-8"?>
<comments xmlns="http://schemas.openxmlformats.org/spreadsheetml/2006/main">
  <authors>
    <author>Author</author>
  </authors>
  <commentList>
    <comment ref="B4" authorId="0">
      <text>
        <r>
          <rPr>
            <b/>
            <sz val="9"/>
            <rFont val="Tahoma"/>
            <family val="2"/>
          </rPr>
          <t>Author:</t>
        </r>
        <r>
          <rPr>
            <sz val="9"/>
            <rFont val="Tahoma"/>
            <family val="2"/>
          </rPr>
          <t xml:space="preserve">
Reflects suggested 80% of NEM value to account for 20% subscriber savings</t>
        </r>
      </text>
    </comment>
  </commentList>
</comments>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See Section 6.14.5 of the LTRRPP</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62" authorId="0">
      <text>
        <r>
          <rPr>
            <b/>
            <sz val="9"/>
            <rFont val="Tahoma"/>
            <family val="2"/>
          </rPr>
          <t>Author:</t>
        </r>
        <r>
          <rPr>
            <sz val="9"/>
            <rFont val="Tahoma"/>
            <family val="2"/>
          </rPr>
          <t xml:space="preserve">
Source: Grid Alternatives Data Response, page 12.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G74" authorId="0">
      <text>
        <r>
          <rPr>
            <b/>
            <sz val="9"/>
            <rFont val="Tahoma"/>
            <family val="2"/>
          </rPr>
          <t>Author:</t>
        </r>
        <r>
          <rPr>
            <sz val="9"/>
            <rFont val="Tahoma"/>
            <family val="2"/>
          </rPr>
          <t xml:space="preserve">
Source: Public Law 115-97 </t>
        </r>
      </text>
    </comment>
    <comment ref="P71" authorId="0">
      <text>
        <r>
          <rPr>
            <b/>
            <sz val="9"/>
            <rFont val="Tahoma"/>
            <family val="2"/>
          </rPr>
          <t>Author:</t>
        </r>
        <r>
          <rPr>
            <sz val="9"/>
            <rFont val="Tahoma"/>
            <family val="2"/>
          </rPr>
          <t xml:space="preserve">
Source: Public Law 115-97</t>
        </r>
      </text>
    </comment>
  </commentList>
</comments>
</file>

<file path=xl/comments3.xml><?xml version="1.0" encoding="utf-8"?>
<comments xmlns="http://schemas.openxmlformats.org/spreadsheetml/2006/main">
  <authors>
    <author>Author</author>
  </authors>
  <commentList>
    <comment ref="D18" authorId="0">
      <text>
        <r>
          <rPr>
            <b/>
            <sz val="9"/>
            <rFont val="Tahoma"/>
            <family val="2"/>
          </rPr>
          <t>Author:</t>
        </r>
        <r>
          <rPr>
            <sz val="9"/>
            <rFont val="Tahoma"/>
            <family val="2"/>
          </rPr>
          <t xml:space="preserve">
Source: SEIA comment on Draft LTRRPP, page 13.</t>
        </r>
      </text>
    </comment>
    <comment ref="D15" authorId="0">
      <text>
        <r>
          <rPr>
            <b/>
            <sz val="9"/>
            <rFont val="Tahoma"/>
            <family val="2"/>
          </rPr>
          <t xml:space="preserve">Author:
</t>
        </r>
        <r>
          <rPr>
            <sz val="9"/>
            <rFont val="Tahoma"/>
            <family val="2"/>
          </rPr>
          <t>Source: SEIA comment on Draft LTRRPP, page 5.
*Applies only to Community Solar*</t>
        </r>
      </text>
    </comment>
    <comment ref="D12" authorId="0">
      <text>
        <r>
          <rPr>
            <b/>
            <sz val="9"/>
            <rFont val="Tahoma"/>
            <family val="2"/>
          </rPr>
          <t xml:space="preserve">Author:
</t>
        </r>
        <r>
          <rPr>
            <sz val="9"/>
            <rFont val="Tahoma"/>
            <family val="2"/>
          </rPr>
          <t>Source: SEIA comment on Draft LTRRPP, page 5.
*Applies only to Community Solar*</t>
        </r>
      </text>
    </comment>
    <comment ref="D6" authorId="0">
      <text>
        <r>
          <rPr>
            <b/>
            <sz val="9"/>
            <rFont val="Tahoma"/>
            <family val="2"/>
          </rPr>
          <t>Author:</t>
        </r>
        <r>
          <rPr>
            <sz val="9"/>
            <rFont val="Tahoma"/>
            <family val="2"/>
          </rPr>
          <t xml:space="preserve">
Source: Joint Solar Parties Objections at 31-33</t>
        </r>
      </text>
    </comment>
    <comment ref="D7" authorId="0">
      <text>
        <r>
          <rPr>
            <b/>
            <sz val="9"/>
            <rFont val="Tahoma"/>
            <family val="2"/>
          </rPr>
          <t>Author:</t>
        </r>
        <r>
          <rPr>
            <sz val="9"/>
            <rFont val="Tahoma"/>
            <family val="2"/>
          </rPr>
          <t xml:space="preserve">
Source: Joint Solar Parties Response at 31</t>
        </r>
      </text>
    </comment>
    <comment ref="D9" authorId="0">
      <text>
        <r>
          <rPr>
            <b/>
            <sz val="9"/>
            <rFont val="Tahoma"/>
            <family val="2"/>
          </rPr>
          <t xml:space="preserve">Author:
</t>
        </r>
        <r>
          <rPr>
            <sz val="9"/>
            <rFont val="Tahoma"/>
            <family val="2"/>
          </rPr>
          <t>Source: Calculated WACC using 6% Interest Rate on Term Debt</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sharedStrings.xml><?xml version="1.0" encoding="utf-8"?>
<sst xmlns="http://schemas.openxmlformats.org/spreadsheetml/2006/main" count="718" uniqueCount="395">
  <si>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</si>
  <si>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</si>
  <si>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</si>
  <si>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</si>
  <si>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</si>
  <si>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</si>
  <si>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</si>
  <si>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</si>
  <si>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</si>
  <si>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</si>
  <si>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</si>
  <si>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</si>
  <si>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</si>
  <si>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</si>
  <si>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</si>
  <si>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</si>
  <si>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</si>
  <si>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</si>
  <si>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</si>
  <si>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</si>
  <si>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</si>
  <si>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</si>
  <si>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</si>
  <si>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</si>
  <si>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</si>
  <si>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</si>
  <si>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</si>
  <si>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</si>
  <si>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</si>
  <si>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</si>
  <si>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</si>
  <si>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</si>
  <si>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</si>
  <si>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</si>
  <si>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</si>
  <si>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</si>
  <si>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</si>
  <si>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</si>
  <si>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</si>
  <si>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</si>
  <si>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</si>
  <si>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</si>
  <si>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</si>
  <si>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</si>
  <si>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</si>
  <si>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</si>
  <si>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</si>
  <si>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</si>
  <si>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</si>
  <si>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</si>
  <si>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</si>
  <si>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</si>
  <si>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</si>
  <si>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</si>
  <si>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</si>
  <si>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</si>
  <si>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</si>
  <si>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</si>
  <si>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</si>
  <si>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</si>
  <si>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</si>
  <si>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</si>
  <si>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</si>
  <si>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</si>
  <si>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</si>
  <si>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</si>
  <si>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</si>
  <si>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</si>
  <si>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</si>
  <si>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</si>
  <si>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</si>
  <si>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</si>
  <si>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</si>
  <si>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</si>
  <si>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</si>
  <si>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</si>
  <si>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</si>
  <si>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</si>
  <si>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</si>
  <si>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</si>
  <si>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</si>
  <si>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</si>
  <si>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</si>
  <si>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</si>
  <si>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</si>
  <si>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</si>
  <si>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</si>
  <si>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</si>
  <si>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</si>
  <si>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</si>
  <si>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</si>
  <si>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</si>
  <si>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</si>
  <si>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</si>
  <si>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</si>
  <si>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</si>
  <si>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</si>
  <si>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</si>
  <si>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</si>
  <si>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</si>
  <si>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</si>
  <si>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</si>
  <si>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</si>
  <si>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</si>
  <si>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</si>
  <si>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</si>
  <si>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</si>
  <si>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</si>
  <si>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</si>
  <si>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</si>
  <si>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</si>
  <si>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</si>
  <si>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</si>
  <si>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</si>
  <si>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</si>
  <si>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</si>
  <si>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</si>
  <si>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</si>
  <si>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</si>
  <si>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</si>
  <si>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</si>
  <si>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</si>
  <si>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</si>
  <si>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</si>
  <si>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</si>
  <si>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</si>
  <si>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</si>
  <si>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</si>
  <si>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</si>
  <si>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</si>
  <si>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</si>
  <si>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</si>
  <si>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</si>
  <si>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</si>
  <si>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</si>
  <si>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</si>
  <si>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</si>
  <si>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</si>
  <si>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</si>
  <si>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</si>
  <si>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</si>
  <si>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</si>
  <si>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</si>
  <si>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</si>
  <si>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</si>
  <si>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</si>
  <si>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</si>
  <si>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</si>
  <si>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</si>
  <si>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</si>
  <si>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</si>
  <si>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</si>
  <si>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</si>
  <si>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</si>
  <si>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</si>
  <si>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</si>
  <si>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</si>
  <si>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</si>
  <si>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</si>
  <si>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</si>
  <si>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</si>
  <si>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</si>
  <si>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</si>
  <si>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</si>
  <si>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</si>
  <si>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</si>
  <si>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</si>
  <si>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</si>
  <si>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</si>
  <si>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</si>
  <si>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</si>
  <si>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</si>
  <si>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</si>
  <si>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</si>
  <si>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</si>
  <si>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</si>
  <si>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</si>
  <si>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</si>
  <si>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</si>
  <si>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</si>
  <si>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</si>
  <si>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</si>
  <si>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</si>
  <si>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</si>
  <si>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</si>
  <si>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</si>
  <si>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</si>
  <si>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</si>
  <si>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</si>
  <si>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</si>
  <si>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</si>
  <si>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</si>
  <si>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</si>
  <si>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</si>
  <si>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</si>
  <si>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</si>
  <si>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</si>
  <si>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</si>
  <si>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</si>
  <si>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</si>
  <si>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</si>
  <si>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</si>
  <si>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</si>
  <si>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</si>
  <si>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</si>
  <si>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</si>
  <si>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</si>
  <si>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</si>
  <si>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</si>
  <si>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</si>
  <si>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</si>
  <si>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</si>
  <si>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</si>
  <si>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</si>
  <si>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</si>
  <si>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</si>
  <si>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</si>
  <si>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</si>
  <si>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</si>
  <si>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</si>
  <si>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</si>
  <si>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</si>
  <si>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</si>
  <si>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</si>
  <si>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</si>
  <si>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</si>
  <si>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</si>
  <si>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</si>
  <si>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</si>
  <si>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</si>
  <si>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</si>
  <si>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</si>
  <si>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</si>
  <si>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</si>
  <si>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</si>
  <si>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</si>
  <si>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</si>
  <si>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</si>
  <si>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</si>
  <si>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</si>
  <si>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</si>
  <si>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</si>
  <si>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</si>
  <si>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</si>
  <si>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</si>
  <si>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</si>
  <si>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</si>
  <si>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</si>
  <si>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</si>
  <si>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</si>
  <si>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</si>
  <si>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</si>
  <si>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</si>
  <si>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</si>
  <si>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</si>
  <si>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</si>
  <si>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</si>
  <si>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</si>
  <si>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</si>
  <si>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</si>
  <si>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</si>
  <si>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</si>
  <si>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</si>
  <si>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</si>
  <si>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</si>
  <si>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</si>
  <si>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</si>
  <si>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</si>
  <si>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</si>
  <si>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</si>
  <si>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</si>
  <si>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</si>
  <si>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</si>
  <si>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</si>
  <si>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</si>
  <si>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</si>
  <si>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</si>
  <si>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</si>
  <si>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</si>
  <si>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</si>
  <si>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</si>
  <si>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</si>
  <si>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</si>
  <si>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</si>
  <si>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</si>
  <si>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</si>
  <si>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</si>
  <si>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</si>
  <si>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</si>
  <si>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</si>
  <si>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</si>
  <si>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</si>
  <si>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</si>
  <si>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</si>
  <si>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</si>
  <si>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</si>
  <si>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</si>
  <si>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</si>
  <si>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</si>
  <si>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</si>
  <si>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</si>
  <si>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</si>
  <si>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</si>
  <si>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</si>
  <si>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</si>
  <si>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</si>
  <si>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</si>
  <si>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</si>
  <si>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</si>
  <si>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</si>
  <si>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</si>
  <si>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</si>
  <si>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</si>
  <si>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</si>
  <si>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</si>
  <si>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</si>
  <si>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</si>
  <si>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</si>
  <si>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</si>
  <si>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</si>
  <si>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</si>
  <si>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Energy Charge ($/kWh)</t>
  </si>
  <si>
    <t>ComEd</t>
  </si>
  <si>
    <t>Discount Rate</t>
  </si>
  <si>
    <t>Inflation Rate</t>
  </si>
  <si>
    <t>DY Year Ending</t>
  </si>
  <si>
    <t>System Size</t>
  </si>
  <si>
    <t>Total Charge ($/kWh)</t>
  </si>
  <si>
    <t>IPA Modified CREST Model Results</t>
  </si>
  <si>
    <t>10 kW</t>
  </si>
  <si>
    <t>100 kW</t>
  </si>
  <si>
    <t>200 kW</t>
  </si>
  <si>
    <t>500 kW</t>
  </si>
  <si>
    <t>2000 kW</t>
  </si>
  <si>
    <t>kW dc</t>
  </si>
  <si>
    <t>kW ac</t>
  </si>
  <si>
    <t>AC to DC Conversion Factor</t>
  </si>
  <si>
    <t>Acre/MW dc</t>
  </si>
  <si>
    <t>25 kW</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</si>
  <si>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</si>
  <si>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</si>
  <si>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</si>
  <si>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</si>
  <si>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</si>
  <si>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</si>
  <si>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</si>
  <si>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</si>
  <si>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</si>
  <si>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</si>
  <si>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</si>
  <si>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</si>
  <si>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</si>
  <si>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</si>
  <si>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t>Pricing Bin Adder</t>
  </si>
  <si>
    <t>ComEd Net PV COE ($/MWh)</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</si>
  <si>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</si>
  <si>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</si>
  <si>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</si>
  <si>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</si>
  <si>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</si>
  <si>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</si>
  <si>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$/acre/year</t>
  </si>
  <si>
    <t>Subscriber Savings</t>
  </si>
  <si>
    <t>% of Net Metering Value Allocated</t>
  </si>
  <si>
    <t>Property Taxes</t>
  </si>
  <si>
    <t>$/MWac-yr</t>
  </si>
  <si>
    <t>$/kWac-yr</t>
  </si>
  <si>
    <t>&gt; 10 to 25 kW</t>
  </si>
  <si>
    <t>&gt; 25 to 100 kW</t>
  </si>
  <si>
    <t>&gt; 100 to 200 kW</t>
  </si>
  <si>
    <t>&gt; 200 to 500 kW</t>
  </si>
  <si>
    <t>&gt; 500 to 2,000 kW</t>
  </si>
  <si>
    <t>&lt;= 10 kW</t>
  </si>
  <si>
    <t>≥ 75% Small Subscriber Participation</t>
  </si>
  <si>
    <t>Small Subscriber Adders</t>
  </si>
  <si>
    <t>% Small Subscriber Participation</t>
  </si>
  <si>
    <t xml:space="preserve">ComEd Adder </t>
  </si>
  <si>
    <t>≥ 75%</t>
  </si>
  <si>
    <t>IPA Pricing Bin Adjustments</t>
  </si>
  <si>
    <t>Ameren Illinois ($/REC)</t>
  </si>
  <si>
    <t>Ameren Illinois Adjustment ($/REC)</t>
  </si>
  <si>
    <t>ComEd Adjustment ($/REC)</t>
  </si>
  <si>
    <t>Ameren Illinois Net PV COE ($/MWh)</t>
  </si>
  <si>
    <t>Ameren Illinois</t>
  </si>
  <si>
    <t>Ameren Illinois C&amp;I</t>
  </si>
  <si>
    <t xml:space="preserve">Ameren Illinois C&amp;I Tariff </t>
  </si>
  <si>
    <t>Less than 25% Small Subscriber Participation</t>
  </si>
  <si>
    <t>≥ 25 - 50% Small Subscriber Participation</t>
  </si>
  <si>
    <t>≥ 50 - 75% Small Subscriber Participation</t>
  </si>
  <si>
    <t>Less than 25%</t>
  </si>
  <si>
    <t>≥ 25 - 50%</t>
  </si>
  <si>
    <t>≥ 50 - 75%</t>
  </si>
  <si>
    <t>Ameren Illinois Adder</t>
  </si>
  <si>
    <t>% dc</t>
  </si>
  <si>
    <t>Project Size (kW 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</si>
</sst>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_(&quot;$&quot;* #,##0.0_);_(&quot;$&quot;* \(#,##0.0\);_(&quot;$&quot;* &quot;-&quot;??_);_(@_)"/>
    <numFmt numFmtId="181" formatCode="_(&quot;$&quot;* #,##0_);_(&quot;$&quot;* \(#,##0\);_(&quot;$&quot;* &quot;-&quot;??_);_(@_)"/>
  </numFmts>
  <fonts count="135">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b/>
      <sz val="14"/>
      <name val="Arial"/>
      <family val="2"/>
    </font>
    <font>
      <b/>
      <i/>
      <sz val="10"/>
      <name val="Arial"/>
      <family val="2"/>
    </font>
    <font>
      <i/>
      <sz val="11"/>
      <name val="Arial"/>
      <family val="2"/>
    </font>
    <font>
      <b/>
      <sz val="12"/>
      <color indexed="56"/>
      <name val="Arial"/>
      <family val="2"/>
    </font>
    <font>
      <b/>
      <sz val="8"/>
      <name val="Tahoma"/>
      <family val="2"/>
    </font>
    <font>
      <sz val="8"/>
      <name val="Tahoma"/>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sz val="12"/>
      <color indexed="12"/>
      <name val="Arial"/>
      <family val="2"/>
    </font>
    <font>
      <sz val="12"/>
      <color indexed="8"/>
      <name val="Arial"/>
      <family val="2"/>
    </font>
    <font>
      <i/>
      <u val="single"/>
      <sz val="12"/>
      <name val="Arial"/>
      <family val="2"/>
    </font>
    <font>
      <b/>
      <u val="single"/>
      <sz val="12"/>
      <name val="Arial"/>
      <family val="2"/>
    </font>
    <font>
      <b/>
      <sz val="11"/>
      <name val="Arial"/>
      <family val="2"/>
    </font>
    <font>
      <sz val="11"/>
      <name val="Arial"/>
      <family val="2"/>
    </font>
    <font>
      <b/>
      <i/>
      <u val="single"/>
      <sz val="12"/>
      <name val="Arial"/>
      <family val="2"/>
    </font>
    <font>
      <sz val="14"/>
      <name val="Arial"/>
      <family val="2"/>
    </font>
    <font>
      <b/>
      <sz val="8"/>
      <name val="Arial"/>
      <family val="2"/>
    </font>
    <font>
      <sz val="12"/>
      <name val="Tahoma"/>
      <family val="2"/>
    </font>
    <font>
      <b/>
      <i/>
      <sz val="14"/>
      <name val="Tahoma"/>
      <family val="2"/>
    </font>
    <font>
      <b/>
      <u val="single"/>
      <sz val="14"/>
      <name val="Tahoma"/>
      <family val="2"/>
    </font>
    <font>
      <b/>
      <sz val="11"/>
      <color indexed="8"/>
      <name val="Calibri"/>
      <family val="2"/>
    </font>
    <font>
      <sz val="12"/>
      <name val="Calibri"/>
      <family val="2"/>
    </font>
    <font>
      <b/>
      <sz val="16"/>
      <name val="Tahoma"/>
      <family val="2"/>
    </font>
    <font>
      <sz val="9"/>
      <name val="Tahoma"/>
      <family val="2"/>
    </font>
    <font>
      <b/>
      <sz val="9"/>
      <name val="Tahoma"/>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mbria"/>
      <family val="2"/>
    </font>
    <font>
      <b/>
      <sz val="11"/>
      <color indexed="63"/>
      <name val="Calibri"/>
      <family val="2"/>
    </font>
    <font>
      <b/>
      <sz val="18"/>
      <color indexed="56"/>
      <name val="Cambria"/>
      <family val="2"/>
    </font>
    <font>
      <sz val="11"/>
      <color indexed="10"/>
      <name val="Calibri"/>
      <family val="2"/>
    </font>
    <font>
      <b/>
      <sz val="12"/>
      <color indexed="10"/>
      <name val="Arial"/>
      <family val="2"/>
    </font>
    <font>
      <sz val="12"/>
      <color indexed="60"/>
      <name val="Arial"/>
      <family val="2"/>
    </font>
    <font>
      <sz val="11"/>
      <color indexed="8"/>
      <name val="Arial"/>
      <family val="2"/>
    </font>
    <font>
      <b/>
      <sz val="11"/>
      <color indexed="62"/>
      <name val="Arial"/>
      <family val="2"/>
    </font>
    <font>
      <sz val="12"/>
      <color indexed="10"/>
      <name val="Arial"/>
      <family val="2"/>
    </font>
    <font>
      <i/>
      <sz val="12"/>
      <color indexed="23"/>
      <name val="Arial"/>
      <family val="2"/>
    </font>
    <font>
      <b/>
      <sz val="12"/>
      <color indexed="9"/>
      <name val="Arial"/>
      <family val="2"/>
    </font>
    <font>
      <b/>
      <sz val="12"/>
      <color indexed="8"/>
      <name val="Arial"/>
      <family val="2"/>
    </font>
    <font>
      <b/>
      <i/>
      <sz val="12"/>
      <color indexed="55"/>
      <name val="Arial"/>
      <family val="2"/>
    </font>
    <font>
      <i/>
      <sz val="10"/>
      <color indexed="23"/>
      <name val="Arial"/>
      <family val="2"/>
    </font>
    <font>
      <i/>
      <sz val="12"/>
      <color indexed="22"/>
      <name val="Arial"/>
      <family val="2"/>
    </font>
    <font>
      <b/>
      <sz val="12"/>
      <color indexed="22"/>
      <name val="Arial"/>
      <family val="2"/>
    </font>
    <font>
      <sz val="12"/>
      <color indexed="9"/>
      <name val="Arial"/>
      <family val="2"/>
    </font>
    <font>
      <i/>
      <sz val="12"/>
      <color indexed="8"/>
      <name val="Arial"/>
      <family val="2"/>
    </font>
    <font>
      <sz val="12"/>
      <color indexed="55"/>
      <name val="Arial"/>
      <family val="2"/>
    </font>
    <font>
      <b/>
      <u val="single"/>
      <sz val="12"/>
      <color indexed="55"/>
      <name val="Arial"/>
      <family val="2"/>
    </font>
    <font>
      <b/>
      <sz val="12"/>
      <color indexed="55"/>
      <name val="Arial"/>
      <family val="2"/>
    </font>
    <font>
      <sz val="12"/>
      <color indexed="22"/>
      <name val="Arial"/>
      <family val="2"/>
    </font>
    <font>
      <b/>
      <u val="single"/>
      <sz val="12"/>
      <color indexed="22"/>
      <name val="Arial"/>
      <family val="2"/>
    </font>
    <font>
      <u val="single"/>
      <sz val="12"/>
      <color indexed="12"/>
      <name val="Arial"/>
      <family val="2"/>
    </font>
    <font>
      <b/>
      <u val="single"/>
      <sz val="12"/>
      <color indexed="12"/>
      <name val="Arial"/>
      <family val="2"/>
    </font>
    <font>
      <b/>
      <i/>
      <u val="single"/>
      <sz val="12"/>
      <color indexed="8"/>
      <name val="Arial"/>
      <family val="2"/>
    </font>
    <font>
      <sz val="11"/>
      <name val="Calibri"/>
      <family val="2"/>
    </font>
    <font>
      <b/>
      <sz val="12"/>
      <color indexed="8"/>
      <name val="Calibri"/>
      <family val="2"/>
    </font>
    <font>
      <b/>
      <sz val="14"/>
      <color indexed="8"/>
      <name val="Calibri"/>
      <family val="2"/>
    </font>
    <font>
      <b/>
      <sz val="12"/>
      <name val="Calibri"/>
      <family val="2"/>
    </font>
    <font>
      <b/>
      <sz val="14"/>
      <name val="Calibri"/>
      <family val="2"/>
    </font>
    <font>
      <b/>
      <sz val="16"/>
      <color indexed="8"/>
      <name val="Calibri"/>
      <family val="2"/>
    </font>
    <font>
      <b/>
      <u val="single"/>
      <sz val="11"/>
      <color indexed="8"/>
      <name val="Calibri"/>
      <family val="2"/>
    </font>
    <font>
      <b/>
      <u val="single"/>
      <sz val="12"/>
      <color indexed="9"/>
      <name val="Arial"/>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mbri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b/>
      <u val="single"/>
      <sz val="12"/>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style="medium"/>
      <top style="thin"/>
      <bottom style="double"/>
    </border>
    <border>
      <left style="thin"/>
      <right/>
      <top/>
      <bottom style="thin"/>
    </border>
    <border>
      <left/>
      <right style="thin"/>
      <top/>
      <bottom style="thin"/>
    </border>
    <border>
      <left style="thin"/>
      <right/>
      <top style="thin"/>
      <bottom/>
    </border>
    <border>
      <left/>
      <right style="thin"/>
      <top style="medium"/>
      <bottom style="medium"/>
    </border>
    <border>
      <left/>
      <right style="thin"/>
      <top style="medium"/>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0"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10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668">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7" fillId="33" borderId="11" xfId="0" applyNumberFormat="1" applyFont="1" applyFill="1" applyBorder="1" applyAlignment="1">
      <alignment horizontal="center"/>
    </xf>
    <xf numFmtId="165" fontId="8"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5" fillId="0" borderId="14" xfId="0" applyFont="1" applyFill="1" applyBorder="1" applyAlignment="1">
      <alignment horizontal="center"/>
    </xf>
    <xf numFmtId="0" fontId="0" fillId="0" borderId="0" xfId="0" applyBorder="1" applyAlignment="1">
      <alignment/>
    </xf>
    <xf numFmtId="0" fontId="105"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6" fillId="0" borderId="11" xfId="0" applyFont="1" applyBorder="1" applyAlignment="1">
      <alignment horizontal="center" vertical="center"/>
    </xf>
    <xf numFmtId="0" fontId="6" fillId="0" borderId="11" xfId="0" applyFont="1" applyFill="1" applyBorder="1" applyAlignment="1">
      <alignment horizontal="left"/>
    </xf>
    <xf numFmtId="9" fontId="107"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5" fillId="0" borderId="0" xfId="0" applyNumberFormat="1" applyFont="1" applyAlignment="1">
      <alignment wrapText="1"/>
    </xf>
    <xf numFmtId="164" fontId="3" fillId="0" borderId="0" xfId="74" applyNumberFormat="1" applyFont="1" applyAlignment="1">
      <alignment/>
    </xf>
    <xf numFmtId="6" fontId="19"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5"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5"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4"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19"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6"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6" fillId="0" borderId="10" xfId="0" applyFont="1" applyFill="1" applyBorder="1" applyAlignment="1">
      <alignment horizontal="left" vertical="center"/>
    </xf>
    <xf numFmtId="0" fontId="106" fillId="0" borderId="0" xfId="0" applyFont="1" applyFill="1" applyBorder="1" applyAlignment="1">
      <alignment horizontal="center" vertical="center"/>
    </xf>
    <xf numFmtId="0" fontId="108" fillId="0" borderId="0" xfId="0" applyFont="1" applyFill="1" applyBorder="1" applyAlignment="1">
      <alignment horizontal="left"/>
    </xf>
    <xf numFmtId="0" fontId="108" fillId="0" borderId="0" xfId="0" applyFont="1" applyFill="1" applyBorder="1" applyAlignment="1">
      <alignment/>
    </xf>
    <xf numFmtId="168" fontId="5" fillId="0" borderId="16" xfId="0" applyNumberFormat="1" applyFont="1" applyFill="1" applyBorder="1" applyAlignment="1">
      <alignment/>
    </xf>
    <xf numFmtId="0" fontId="109" fillId="0" borderId="0" xfId="0" applyFont="1" applyBorder="1" applyAlignment="1">
      <alignment/>
    </xf>
    <xf numFmtId="9" fontId="110" fillId="0" borderId="0" xfId="0" applyNumberFormat="1" applyFont="1" applyBorder="1" applyAlignment="1">
      <alignment horizontal="center"/>
    </xf>
    <xf numFmtId="0" fontId="110" fillId="0" borderId="0" xfId="0" applyFont="1" applyBorder="1" applyAlignment="1">
      <alignment horizontal="center"/>
    </xf>
    <xf numFmtId="0" fontId="109" fillId="0" borderId="0" xfId="0" applyFont="1" applyBorder="1" applyAlignment="1">
      <alignment/>
    </xf>
    <xf numFmtId="0" fontId="5" fillId="0" borderId="0" xfId="0" applyFont="1" applyFill="1" applyBorder="1" applyAlignment="1">
      <alignment horizontal="right"/>
    </xf>
    <xf numFmtId="0" fontId="21"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2" fillId="37" borderId="0" xfId="0" applyNumberFormat="1" applyFont="1" applyFill="1" applyAlignment="1">
      <alignment/>
    </xf>
    <xf numFmtId="0" fontId="16" fillId="37" borderId="0" xfId="0" applyNumberFormat="1" applyFont="1" applyFill="1" applyAlignment="1">
      <alignment horizontal="center"/>
    </xf>
    <xf numFmtId="168" fontId="5" fillId="37" borderId="0" xfId="0" applyNumberFormat="1" applyFont="1" applyFill="1" applyAlignment="1">
      <alignment horizontal="center"/>
    </xf>
    <xf numFmtId="0" fontId="111" fillId="37" borderId="0" xfId="0" applyNumberFormat="1" applyFont="1" applyFill="1" applyAlignment="1">
      <alignment/>
    </xf>
    <xf numFmtId="10" fontId="9" fillId="37" borderId="0" xfId="74" applyNumberFormat="1" applyFont="1" applyFill="1" applyAlignment="1">
      <alignment/>
    </xf>
    <xf numFmtId="10" fontId="5" fillId="37" borderId="0" xfId="74" applyNumberFormat="1" applyFont="1" applyFill="1" applyAlignment="1">
      <alignment/>
    </xf>
    <xf numFmtId="168" fontId="21"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4" applyNumberFormat="1" applyFont="1" applyFill="1" applyAlignment="1">
      <alignment/>
    </xf>
    <xf numFmtId="168" fontId="5" fillId="37" borderId="0" xfId="74"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4"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4"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4"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0"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9"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9" fillId="37" borderId="0" xfId="0" applyNumberFormat="1" applyFont="1" applyFill="1" applyAlignment="1">
      <alignment horizontal="right" wrapText="1"/>
    </xf>
    <xf numFmtId="41" fontId="9"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2" fillId="37" borderId="0" xfId="0" applyNumberFormat="1" applyFont="1" applyFill="1" applyBorder="1" applyAlignment="1">
      <alignment/>
    </xf>
    <xf numFmtId="9" fontId="113"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26" fillId="0" borderId="0" xfId="0" applyFont="1" applyFill="1" applyBorder="1" applyAlignment="1">
      <alignment vertical="center"/>
    </xf>
    <xf numFmtId="175" fontId="3" fillId="0" borderId="14" xfId="0" applyNumberFormat="1" applyFont="1" applyFill="1" applyBorder="1" applyAlignment="1">
      <alignment horizontal="center"/>
    </xf>
    <xf numFmtId="2" fontId="114" fillId="0" borderId="17" xfId="0" applyNumberFormat="1" applyFont="1" applyFill="1" applyBorder="1" applyAlignment="1">
      <alignment horizontal="center"/>
    </xf>
    <xf numFmtId="6" fontId="115" fillId="0" borderId="0" xfId="0" applyNumberFormat="1" applyFont="1" applyAlignment="1">
      <alignment/>
    </xf>
    <xf numFmtId="6" fontId="115"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6" fillId="0" borderId="0" xfId="0" applyNumberFormat="1" applyFont="1" applyAlignment="1">
      <alignment/>
    </xf>
    <xf numFmtId="6" fontId="5" fillId="37" borderId="0" xfId="0" applyNumberFormat="1" applyFont="1" applyFill="1" applyBorder="1" applyAlignment="1">
      <alignment/>
    </xf>
    <xf numFmtId="0" fontId="16" fillId="37" borderId="0" xfId="0" applyNumberFormat="1" applyFont="1" applyFill="1" applyAlignment="1">
      <alignment/>
    </xf>
    <xf numFmtId="0" fontId="6"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6" fillId="0" borderId="0" xfId="0" applyNumberFormat="1" applyFont="1" applyFill="1" applyBorder="1" applyAlignment="1">
      <alignment horizontal="right"/>
    </xf>
    <xf numFmtId="164" fontId="106" fillId="0" borderId="0" xfId="74" applyNumberFormat="1" applyFont="1" applyFill="1" applyBorder="1" applyAlignment="1">
      <alignment horizontal="right"/>
    </xf>
    <xf numFmtId="3" fontId="5" fillId="0" borderId="0" xfId="0" applyNumberFormat="1" applyFont="1" applyFill="1" applyBorder="1" applyAlignment="1">
      <alignment horizontal="right"/>
    </xf>
    <xf numFmtId="0" fontId="106" fillId="0" borderId="0" xfId="0" applyFont="1" applyFill="1" applyBorder="1" applyAlignment="1">
      <alignment horizontal="right"/>
    </xf>
    <xf numFmtId="170" fontId="106" fillId="0" borderId="0" xfId="50" applyNumberFormat="1" applyFont="1" applyFill="1" applyBorder="1" applyAlignment="1">
      <alignment horizontal="right"/>
    </xf>
    <xf numFmtId="6" fontId="106"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6" fillId="0" borderId="0" xfId="74" applyNumberFormat="1" applyFont="1" applyFill="1" applyBorder="1" applyAlignment="1">
      <alignment horizontal="right"/>
    </xf>
    <xf numFmtId="2" fontId="5" fillId="0" borderId="0" xfId="74" applyNumberFormat="1" applyFont="1" applyFill="1" applyBorder="1" applyAlignment="1">
      <alignment horizontal="right"/>
    </xf>
    <xf numFmtId="2" fontId="106" fillId="0" borderId="0" xfId="0" applyNumberFormat="1" applyFont="1" applyFill="1" applyBorder="1" applyAlignment="1">
      <alignment horizontal="center"/>
    </xf>
    <xf numFmtId="9" fontId="106" fillId="0" borderId="0" xfId="74" applyFont="1" applyFill="1" applyBorder="1" applyAlignment="1">
      <alignment horizontal="center"/>
    </xf>
    <xf numFmtId="164" fontId="4" fillId="0" borderId="0" xfId="74"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6" fillId="0" borderId="0" xfId="0" applyNumberFormat="1" applyFont="1" applyFill="1" applyBorder="1" applyAlignment="1">
      <alignment horizontal="right"/>
    </xf>
    <xf numFmtId="2" fontId="106" fillId="0" borderId="0" xfId="0" applyNumberFormat="1" applyFont="1" applyFill="1" applyBorder="1" applyAlignment="1">
      <alignment horizontal="right"/>
    </xf>
    <xf numFmtId="168" fontId="106" fillId="0" borderId="0" xfId="0" applyNumberFormat="1" applyFont="1" applyFill="1" applyBorder="1" applyAlignment="1">
      <alignment horizontal="right"/>
    </xf>
    <xf numFmtId="9" fontId="9" fillId="0" borderId="0" xfId="74" applyFont="1" applyFill="1" applyBorder="1" applyAlignment="1">
      <alignment horizontal="right"/>
    </xf>
    <xf numFmtId="9" fontId="106" fillId="0" borderId="0" xfId="74" applyNumberFormat="1" applyFont="1" applyFill="1" applyBorder="1" applyAlignment="1">
      <alignment horizontal="right"/>
    </xf>
    <xf numFmtId="10" fontId="106" fillId="0" borderId="0" xfId="74" applyNumberFormat="1" applyFont="1" applyFill="1" applyBorder="1" applyAlignment="1">
      <alignment horizontal="right"/>
    </xf>
    <xf numFmtId="9" fontId="5" fillId="0" borderId="0" xfId="74" applyNumberFormat="1" applyFont="1" applyFill="1" applyBorder="1" applyAlignment="1">
      <alignment horizontal="right"/>
    </xf>
    <xf numFmtId="9" fontId="4" fillId="0" borderId="0" xfId="74" applyFont="1" applyFill="1" applyBorder="1" applyAlignment="1">
      <alignment horizontal="right"/>
    </xf>
    <xf numFmtId="0" fontId="105" fillId="0" borderId="20" xfId="0" applyFont="1" applyFill="1" applyBorder="1" applyAlignment="1">
      <alignment horizontal="center"/>
    </xf>
    <xf numFmtId="10" fontId="3" fillId="0" borderId="0" xfId="74"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4" applyNumberFormat="1" applyFont="1" applyAlignment="1">
      <alignment horizontal="center"/>
    </xf>
    <xf numFmtId="173" fontId="2" fillId="0" borderId="0" xfId="42" applyNumberFormat="1" applyFont="1" applyFill="1" applyBorder="1" applyAlignment="1">
      <alignment horizontal="center"/>
    </xf>
    <xf numFmtId="9" fontId="3" fillId="0" borderId="0" xfId="74" applyFont="1" applyAlignment="1">
      <alignment horizontal="center"/>
    </xf>
    <xf numFmtId="9" fontId="3" fillId="0" borderId="0" xfId="0" applyNumberFormat="1" applyFont="1" applyAlignment="1">
      <alignment horizontal="center"/>
    </xf>
    <xf numFmtId="0" fontId="16" fillId="0" borderId="0" xfId="0" applyNumberFormat="1" applyFont="1" applyFill="1" applyBorder="1" applyAlignment="1">
      <alignment/>
    </xf>
    <xf numFmtId="2" fontId="21"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27" fillId="0" borderId="0" xfId="0" applyNumberFormat="1" applyFont="1" applyAlignment="1">
      <alignment/>
    </xf>
    <xf numFmtId="6" fontId="105" fillId="0" borderId="0" xfId="0" applyNumberFormat="1" applyFont="1" applyFill="1" applyAlignment="1">
      <alignment/>
    </xf>
    <xf numFmtId="0" fontId="25"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4" applyNumberFormat="1" applyFont="1" applyFill="1" applyBorder="1" applyAlignment="1">
      <alignment horizontal="center"/>
    </xf>
    <xf numFmtId="0" fontId="2" fillId="38" borderId="0" xfId="0" applyFont="1" applyFill="1" applyBorder="1" applyAlignment="1">
      <alignment horizontal="center"/>
    </xf>
    <xf numFmtId="9" fontId="4" fillId="0" borderId="0" xfId="74" applyFont="1" applyFill="1" applyBorder="1" applyAlignment="1">
      <alignment horizontal="center"/>
    </xf>
    <xf numFmtId="0" fontId="6" fillId="33" borderId="19" xfId="0" applyFont="1" applyFill="1" applyBorder="1" applyAlignment="1">
      <alignment vertical="center"/>
    </xf>
    <xf numFmtId="0" fontId="26" fillId="33" borderId="19" xfId="0" applyFont="1" applyFill="1" applyBorder="1" applyAlignment="1">
      <alignment vertical="center"/>
    </xf>
    <xf numFmtId="0" fontId="26" fillId="33" borderId="22" xfId="0" applyFont="1" applyFill="1" applyBorder="1" applyAlignment="1">
      <alignment vertical="center"/>
    </xf>
    <xf numFmtId="1" fontId="0" fillId="0" borderId="0" xfId="0" applyNumberFormat="1" applyAlignment="1">
      <alignment/>
    </xf>
    <xf numFmtId="10" fontId="5" fillId="37" borderId="0" xfId="74" applyNumberFormat="1" applyFont="1" applyFill="1" applyAlignment="1">
      <alignment horizontal="right" wrapText="1"/>
    </xf>
    <xf numFmtId="6" fontId="16"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6"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08" fillId="0" borderId="0" xfId="0" applyNumberFormat="1" applyFont="1" applyFill="1" applyBorder="1" applyAlignment="1">
      <alignment horizontal="center"/>
    </xf>
    <xf numFmtId="0" fontId="117" fillId="33" borderId="14" xfId="0" applyNumberFormat="1" applyFont="1" applyFill="1" applyBorder="1" applyAlignment="1">
      <alignment horizontal="center"/>
    </xf>
    <xf numFmtId="0" fontId="117" fillId="33" borderId="24" xfId="0" applyNumberFormat="1" applyFont="1" applyFill="1" applyBorder="1" applyAlignment="1">
      <alignment horizontal="center"/>
    </xf>
    <xf numFmtId="2" fontId="118" fillId="33" borderId="13" xfId="0" applyNumberFormat="1" applyFont="1" applyFill="1" applyBorder="1" applyAlignment="1">
      <alignment horizontal="center"/>
    </xf>
    <xf numFmtId="0" fontId="119" fillId="0" borderId="0" xfId="0" applyFont="1" applyFill="1" applyBorder="1" applyAlignment="1">
      <alignment/>
    </xf>
    <xf numFmtId="0" fontId="15" fillId="33" borderId="11" xfId="0" applyNumberFormat="1" applyFont="1" applyFill="1" applyBorder="1" applyAlignment="1">
      <alignment horizontal="center"/>
    </xf>
    <xf numFmtId="0" fontId="16"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0"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0"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25" fillId="39" borderId="19" xfId="0" applyNumberFormat="1" applyFont="1" applyFill="1" applyBorder="1" applyAlignment="1">
      <alignment/>
    </xf>
    <xf numFmtId="9" fontId="107" fillId="0" borderId="0" xfId="0" applyNumberFormat="1" applyFont="1" applyFill="1" applyBorder="1" applyAlignment="1">
      <alignment horizontal="left"/>
    </xf>
    <xf numFmtId="0" fontId="118" fillId="33" borderId="14" xfId="0" applyFont="1" applyFill="1" applyBorder="1" applyAlignment="1">
      <alignment horizontal="center"/>
    </xf>
    <xf numFmtId="164" fontId="106" fillId="0" borderId="14" xfId="74" applyNumberFormat="1" applyFont="1" applyFill="1" applyBorder="1" applyAlignment="1">
      <alignment horizontal="center"/>
    </xf>
    <xf numFmtId="164" fontId="118" fillId="33" borderId="24" xfId="74"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4" applyFont="1" applyFill="1" applyBorder="1" applyAlignment="1">
      <alignment horizontal="center"/>
    </xf>
    <xf numFmtId="168" fontId="4" fillId="40" borderId="0" xfId="74" applyNumberFormat="1" applyFont="1" applyFill="1" applyBorder="1" applyAlignment="1">
      <alignment horizontal="center"/>
    </xf>
    <xf numFmtId="0" fontId="105"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4" fillId="3" borderId="27" xfId="0" applyNumberFormat="1" applyFont="1" applyFill="1" applyBorder="1" applyAlignment="1">
      <alignment horizontal="center"/>
    </xf>
    <xf numFmtId="0" fontId="15"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1" fillId="0" borderId="0" xfId="0" applyNumberFormat="1" applyFont="1" applyFill="1" applyBorder="1" applyAlignment="1">
      <alignment horizontal="center"/>
    </xf>
    <xf numFmtId="6" fontId="122" fillId="0" borderId="0" xfId="0" applyNumberFormat="1" applyFont="1" applyFill="1" applyBorder="1" applyAlignment="1">
      <alignment horizontal="center"/>
    </xf>
    <xf numFmtId="6" fontId="123" fillId="0" borderId="0" xfId="0" applyNumberFormat="1" applyFont="1" applyFill="1" applyBorder="1" applyAlignment="1">
      <alignment/>
    </xf>
    <xf numFmtId="6" fontId="123"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0" fontId="121" fillId="0" borderId="0" xfId="0" applyNumberFormat="1" applyFont="1" applyFill="1" applyBorder="1" applyAlignment="1">
      <alignment/>
    </xf>
    <xf numFmtId="0" fontId="5" fillId="0" borderId="28" xfId="0" applyFont="1" applyFill="1" applyBorder="1" applyAlignment="1">
      <alignment/>
    </xf>
    <xf numFmtId="0" fontId="6"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5"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3"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6" fillId="0" borderId="19" xfId="0" applyFont="1" applyFill="1" applyBorder="1" applyAlignment="1">
      <alignment horizontal="center" vertical="center" wrapText="1"/>
    </xf>
    <xf numFmtId="0" fontId="106" fillId="0" borderId="22" xfId="0" applyFont="1" applyFill="1" applyBorder="1" applyAlignment="1">
      <alignment horizontal="center" vertical="center" wrapText="1"/>
    </xf>
    <xf numFmtId="0" fontId="106" fillId="0" borderId="18" xfId="0" applyFont="1" applyFill="1" applyBorder="1" applyAlignment="1">
      <alignment horizontal="center" vertical="center"/>
    </xf>
    <xf numFmtId="165" fontId="8" fillId="0" borderId="18" xfId="0" applyNumberFormat="1" applyFont="1" applyFill="1" applyBorder="1" applyAlignment="1">
      <alignment horizontal="center"/>
    </xf>
    <xf numFmtId="1" fontId="108" fillId="0" borderId="18" xfId="0" applyNumberFormat="1" applyFont="1" applyFill="1" applyBorder="1" applyAlignment="1">
      <alignment horizontal="center"/>
    </xf>
    <xf numFmtId="1" fontId="108" fillId="0" borderId="18" xfId="0" applyNumberFormat="1" applyFont="1" applyFill="1" applyBorder="1" applyAlignment="1">
      <alignment horizontal="left"/>
    </xf>
    <xf numFmtId="0" fontId="122"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19" fillId="0" borderId="0" xfId="74" applyNumberFormat="1" applyFont="1" applyFill="1" applyBorder="1" applyAlignment="1">
      <alignment horizontal="right"/>
    </xf>
    <xf numFmtId="165" fontId="15" fillId="33" borderId="12" xfId="0" applyNumberFormat="1" applyFont="1" applyFill="1" applyBorder="1" applyAlignment="1">
      <alignment horizontal="center"/>
    </xf>
    <xf numFmtId="0" fontId="2" fillId="0" borderId="31" xfId="0" applyFont="1" applyFill="1" applyBorder="1" applyAlignment="1">
      <alignment horizontal="center"/>
    </xf>
    <xf numFmtId="0" fontId="15"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4" applyFont="1" applyFill="1" applyAlignment="1">
      <alignment horizontal="center"/>
    </xf>
    <xf numFmtId="168" fontId="2" fillId="37" borderId="0" xfId="0" applyNumberFormat="1" applyFont="1" applyFill="1" applyAlignment="1">
      <alignment horizontal="center"/>
    </xf>
    <xf numFmtId="0" fontId="105" fillId="0" borderId="13" xfId="0" applyFont="1" applyFill="1" applyBorder="1" applyAlignment="1">
      <alignment horizontal="center"/>
    </xf>
    <xf numFmtId="0" fontId="15" fillId="33" borderId="10" xfId="0" applyFont="1" applyFill="1" applyBorder="1" applyAlignment="1">
      <alignment/>
    </xf>
    <xf numFmtId="0" fontId="105" fillId="0" borderId="32" xfId="0" applyFont="1" applyFill="1" applyBorder="1" applyAlignment="1">
      <alignment horizontal="center"/>
    </xf>
    <xf numFmtId="3" fontId="2" fillId="33" borderId="24" xfId="0" applyNumberFormat="1" applyFont="1" applyFill="1" applyBorder="1" applyAlignment="1">
      <alignment horizontal="center"/>
    </xf>
    <xf numFmtId="0" fontId="105" fillId="0" borderId="33" xfId="0" applyFont="1" applyFill="1" applyBorder="1" applyAlignment="1">
      <alignment horizontal="center" vertical="center"/>
    </xf>
    <xf numFmtId="10" fontId="2" fillId="41" borderId="12" xfId="74"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4"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6" fillId="0" borderId="35" xfId="42" applyNumberFormat="1" applyFont="1" applyFill="1" applyBorder="1" applyAlignment="1">
      <alignment horizontal="right"/>
    </xf>
    <xf numFmtId="0" fontId="5" fillId="0" borderId="36" xfId="0" applyFont="1" applyFill="1" applyBorder="1" applyAlignment="1">
      <alignment/>
    </xf>
    <xf numFmtId="164" fontId="106" fillId="0" borderId="20" xfId="74"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6" fillId="36" borderId="41" xfId="0" applyNumberFormat="1" applyFont="1" applyFill="1" applyBorder="1" applyAlignment="1">
      <alignment horizontal="center"/>
    </xf>
    <xf numFmtId="0" fontId="124" fillId="33" borderId="36" xfId="0" applyFont="1" applyFill="1" applyBorder="1" applyAlignment="1">
      <alignment horizontal="left" indent="1"/>
    </xf>
    <xf numFmtId="6" fontId="118" fillId="33" borderId="20" xfId="0" applyNumberFormat="1" applyFont="1" applyFill="1" applyBorder="1" applyAlignment="1">
      <alignment horizontal="right"/>
    </xf>
    <xf numFmtId="0" fontId="124" fillId="33" borderId="36" xfId="0" applyNumberFormat="1" applyFont="1" applyFill="1" applyBorder="1" applyAlignment="1">
      <alignment horizontal="left" indent="1"/>
    </xf>
    <xf numFmtId="168" fontId="124" fillId="33" borderId="42" xfId="0" applyNumberFormat="1" applyFont="1" applyFill="1" applyBorder="1" applyAlignment="1">
      <alignment horizontal="right"/>
    </xf>
    <xf numFmtId="0" fontId="125" fillId="33" borderId="38" xfId="58" applyFont="1" applyFill="1" applyBorder="1" applyAlignment="1" applyProtection="1">
      <alignment/>
      <protection/>
    </xf>
    <xf numFmtId="0" fontId="117"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6" fillId="34" borderId="35" xfId="0" applyNumberFormat="1" applyFont="1" applyFill="1" applyBorder="1" applyAlignment="1">
      <alignment horizontal="right"/>
    </xf>
    <xf numFmtId="0" fontId="5" fillId="0" borderId="36" xfId="0" applyFont="1" applyFill="1" applyBorder="1" applyAlignment="1">
      <alignment horizontal="left"/>
    </xf>
    <xf numFmtId="164" fontId="106" fillId="34" borderId="20" xfId="74" applyNumberFormat="1" applyFont="1" applyFill="1" applyBorder="1" applyAlignment="1">
      <alignment horizontal="right"/>
    </xf>
    <xf numFmtId="0" fontId="106"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6" fillId="0" borderId="35" xfId="0" applyFont="1" applyFill="1" applyBorder="1" applyAlignment="1">
      <alignment horizontal="right"/>
    </xf>
    <xf numFmtId="9" fontId="106" fillId="34" borderId="35" xfId="74" applyNumberFormat="1" applyFont="1" applyFill="1" applyBorder="1" applyAlignment="1">
      <alignment horizontal="right"/>
    </xf>
    <xf numFmtId="0" fontId="5" fillId="34" borderId="38" xfId="0" applyNumberFormat="1" applyFont="1" applyFill="1" applyBorder="1" applyAlignment="1">
      <alignment/>
    </xf>
    <xf numFmtId="164" fontId="106" fillId="34" borderId="43" xfId="74"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6" fillId="0" borderId="35" xfId="74" applyNumberFormat="1" applyFont="1" applyFill="1" applyBorder="1" applyAlignment="1">
      <alignment horizontal="right"/>
    </xf>
    <xf numFmtId="0" fontId="5" fillId="0" borderId="36" xfId="0" applyNumberFormat="1" applyFont="1" applyFill="1" applyBorder="1" applyAlignment="1">
      <alignment/>
    </xf>
    <xf numFmtId="2" fontId="5" fillId="0" borderId="20" xfId="74" applyNumberFormat="1" applyFont="1" applyFill="1" applyBorder="1" applyAlignment="1">
      <alignment horizontal="right"/>
    </xf>
    <xf numFmtId="2" fontId="2" fillId="40" borderId="20" xfId="74" applyNumberFormat="1" applyFont="1" applyFill="1" applyBorder="1" applyAlignment="1">
      <alignment horizontal="right"/>
    </xf>
    <xf numFmtId="2" fontId="106" fillId="0" borderId="20" xfId="74" applyNumberFormat="1" applyFont="1" applyFill="1" applyBorder="1" applyAlignment="1">
      <alignment horizontal="right"/>
    </xf>
    <xf numFmtId="2" fontId="2" fillId="40" borderId="32" xfId="74" applyNumberFormat="1" applyFont="1" applyFill="1" applyBorder="1" applyAlignment="1">
      <alignment horizontal="right"/>
    </xf>
    <xf numFmtId="9" fontId="5" fillId="34" borderId="35" xfId="74" applyNumberFormat="1" applyFont="1" applyFill="1" applyBorder="1" applyAlignment="1">
      <alignment horizontal="right"/>
    </xf>
    <xf numFmtId="0" fontId="5" fillId="0" borderId="44" xfId="0" applyFont="1" applyFill="1" applyBorder="1" applyAlignment="1">
      <alignment/>
    </xf>
    <xf numFmtId="10" fontId="5" fillId="34" borderId="35" xfId="74" applyNumberFormat="1" applyFont="1" applyFill="1" applyBorder="1" applyAlignment="1">
      <alignment horizontal="right"/>
    </xf>
    <xf numFmtId="168" fontId="106"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6" fillId="36" borderId="41" xfId="74"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6" fillId="36" borderId="43" xfId="74"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4"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6" fillId="0" borderId="32" xfId="74" applyNumberFormat="1" applyFont="1" applyFill="1" applyBorder="1" applyAlignment="1">
      <alignment horizontal="right"/>
    </xf>
    <xf numFmtId="0" fontId="124" fillId="33" borderId="34" xfId="0" applyFont="1" applyFill="1" applyBorder="1" applyAlignment="1">
      <alignment/>
    </xf>
    <xf numFmtId="0" fontId="124" fillId="33" borderId="33" xfId="0" applyFont="1" applyFill="1" applyBorder="1" applyAlignment="1">
      <alignment/>
    </xf>
    <xf numFmtId="2" fontId="118" fillId="33" borderId="35" xfId="0" applyNumberFormat="1" applyFont="1" applyFill="1" applyBorder="1" applyAlignment="1">
      <alignment horizontal="center"/>
    </xf>
    <xf numFmtId="0" fontId="124" fillId="33" borderId="36" xfId="0" applyFont="1" applyFill="1" applyBorder="1" applyAlignment="1">
      <alignment/>
    </xf>
    <xf numFmtId="0" fontId="124" fillId="33" borderId="52" xfId="0" applyFont="1" applyFill="1" applyBorder="1" applyAlignment="1">
      <alignment/>
    </xf>
    <xf numFmtId="164" fontId="118" fillId="33" borderId="53" xfId="74" applyNumberFormat="1" applyFont="1" applyFill="1" applyBorder="1" applyAlignment="1">
      <alignment horizontal="right"/>
    </xf>
    <xf numFmtId="0" fontId="126" fillId="33" borderId="47" xfId="58"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6" fillId="36" borderId="35" xfId="74" applyFont="1" applyFill="1" applyBorder="1" applyAlignment="1">
      <alignment horizontal="center"/>
    </xf>
    <xf numFmtId="9" fontId="106" fillId="0" borderId="42" xfId="74" applyFont="1" applyFill="1" applyBorder="1" applyAlignment="1">
      <alignment horizontal="right"/>
    </xf>
    <xf numFmtId="168" fontId="5" fillId="0" borderId="43" xfId="74" applyNumberFormat="1" applyFont="1" applyFill="1" applyBorder="1" applyAlignment="1">
      <alignment horizontal="right"/>
    </xf>
    <xf numFmtId="0" fontId="5" fillId="0" borderId="33" xfId="0" applyFont="1" applyFill="1" applyBorder="1" applyAlignment="1">
      <alignment/>
    </xf>
    <xf numFmtId="0" fontId="106" fillId="36" borderId="35" xfId="0" applyFont="1" applyFill="1" applyBorder="1" applyAlignment="1">
      <alignment horizontal="center"/>
    </xf>
    <xf numFmtId="2" fontId="106" fillId="34" borderId="20" xfId="0" applyNumberFormat="1" applyFont="1" applyFill="1" applyBorder="1" applyAlignment="1">
      <alignment horizontal="right"/>
    </xf>
    <xf numFmtId="164" fontId="106" fillId="0" borderId="42" xfId="74"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6" fillId="0" borderId="35" xfId="0" applyNumberFormat="1" applyFont="1" applyFill="1" applyBorder="1" applyAlignment="1">
      <alignment horizontal="right"/>
    </xf>
    <xf numFmtId="9" fontId="106" fillId="0" borderId="20" xfId="74" applyFont="1" applyFill="1" applyBorder="1" applyAlignment="1">
      <alignment horizontal="right"/>
    </xf>
    <xf numFmtId="0" fontId="106" fillId="36" borderId="20" xfId="0" applyFont="1" applyFill="1" applyBorder="1" applyAlignment="1">
      <alignment horizontal="center"/>
    </xf>
    <xf numFmtId="1" fontId="106" fillId="0" borderId="35" xfId="0" applyNumberFormat="1" applyFont="1" applyFill="1" applyBorder="1" applyAlignment="1">
      <alignment horizontal="right"/>
    </xf>
    <xf numFmtId="176" fontId="106" fillId="34" borderId="42" xfId="0" applyNumberFormat="1" applyFont="1" applyFill="1" applyBorder="1" applyAlignment="1">
      <alignment horizontal="right"/>
    </xf>
    <xf numFmtId="0" fontId="15"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5"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6" fillId="0" borderId="41" xfId="0" applyNumberFormat="1" applyFont="1" applyFill="1" applyBorder="1" applyAlignment="1">
      <alignment horizontal="right"/>
    </xf>
    <xf numFmtId="0" fontId="15" fillId="0" borderId="39" xfId="0" applyFont="1" applyFill="1" applyBorder="1" applyAlignment="1">
      <alignment horizontal="left"/>
    </xf>
    <xf numFmtId="0" fontId="2" fillId="0" borderId="39" xfId="0" applyFont="1" applyFill="1" applyBorder="1" applyAlignment="1">
      <alignment horizontal="left"/>
    </xf>
    <xf numFmtId="0" fontId="16" fillId="0" borderId="40" xfId="0" applyFont="1" applyFill="1" applyBorder="1" applyAlignment="1">
      <alignment horizontal="center"/>
    </xf>
    <xf numFmtId="0" fontId="16" fillId="0" borderId="41" xfId="0" applyFont="1" applyFill="1" applyBorder="1" applyAlignment="1">
      <alignment horizontal="center"/>
    </xf>
    <xf numFmtId="0" fontId="5" fillId="0" borderId="39" xfId="0" applyFont="1" applyFill="1" applyBorder="1" applyAlignment="1">
      <alignment horizontal="left" indent="1"/>
    </xf>
    <xf numFmtId="164" fontId="106" fillId="0" borderId="40" xfId="74" applyNumberFormat="1" applyFont="1" applyFill="1" applyBorder="1" applyAlignment="1">
      <alignment horizontal="center"/>
    </xf>
    <xf numFmtId="164" fontId="106" fillId="0" borderId="41" xfId="74" applyNumberFormat="1" applyFont="1" applyFill="1" applyBorder="1" applyAlignment="1">
      <alignment horizontal="center"/>
    </xf>
    <xf numFmtId="0" fontId="5" fillId="0" borderId="34" xfId="0" applyFont="1" applyFill="1" applyBorder="1" applyAlignment="1">
      <alignment horizontal="left" indent="1"/>
    </xf>
    <xf numFmtId="164" fontId="106" fillId="0" borderId="33" xfId="74" applyNumberFormat="1" applyFont="1" applyFill="1" applyBorder="1" applyAlignment="1">
      <alignment horizontal="center"/>
    </xf>
    <xf numFmtId="164" fontId="106" fillId="0" borderId="35" xfId="74" applyNumberFormat="1" applyFont="1" applyFill="1" applyBorder="1" applyAlignment="1">
      <alignment horizontal="center"/>
    </xf>
    <xf numFmtId="0" fontId="5" fillId="0" borderId="36" xfId="0" applyFont="1" applyFill="1" applyBorder="1" applyAlignment="1">
      <alignment horizontal="left" indent="1"/>
    </xf>
    <xf numFmtId="164" fontId="106" fillId="0" borderId="20" xfId="74" applyNumberFormat="1" applyFont="1" applyFill="1" applyBorder="1" applyAlignment="1">
      <alignment horizontal="center"/>
    </xf>
    <xf numFmtId="0" fontId="5" fillId="0" borderId="38" xfId="0" applyFont="1" applyFill="1" applyBorder="1" applyAlignment="1">
      <alignment horizontal="left" indent="1"/>
    </xf>
    <xf numFmtId="164" fontId="106" fillId="0" borderId="30" xfId="74" applyNumberFormat="1" applyFont="1" applyFill="1" applyBorder="1" applyAlignment="1">
      <alignment horizontal="center"/>
    </xf>
    <xf numFmtId="164" fontId="106" fillId="0" borderId="32" xfId="74" applyNumberFormat="1" applyFont="1" applyFill="1" applyBorder="1" applyAlignment="1">
      <alignment horizontal="center"/>
    </xf>
    <xf numFmtId="0" fontId="127" fillId="0" borderId="39" xfId="58"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5" fillId="33" borderId="11" xfId="0" applyNumberFormat="1" applyFont="1" applyFill="1" applyBorder="1" applyAlignment="1">
      <alignment horizontal="center"/>
    </xf>
    <xf numFmtId="0" fontId="5" fillId="42" borderId="0" xfId="0" applyFont="1" applyFill="1" applyBorder="1" applyAlignment="1">
      <alignment/>
    </xf>
    <xf numFmtId="0" fontId="25" fillId="42" borderId="0" xfId="0" applyFont="1" applyFill="1" applyBorder="1" applyAlignment="1">
      <alignment/>
    </xf>
    <xf numFmtId="0" fontId="128" fillId="42" borderId="0" xfId="0" applyFont="1" applyFill="1" applyBorder="1" applyAlignment="1">
      <alignment/>
    </xf>
    <xf numFmtId="0" fontId="24" fillId="42" borderId="0" xfId="0" applyFont="1" applyFill="1" applyBorder="1" applyAlignment="1">
      <alignment/>
    </xf>
    <xf numFmtId="0" fontId="95" fillId="42" borderId="0" xfId="58" applyFill="1" applyBorder="1" applyAlignment="1" applyProtection="1">
      <alignment/>
      <protection/>
    </xf>
    <xf numFmtId="0" fontId="6" fillId="0" borderId="15" xfId="0" applyFont="1" applyFill="1" applyBorder="1" applyAlignment="1">
      <alignment horizontal="center"/>
    </xf>
    <xf numFmtId="0" fontId="26"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6" fillId="36" borderId="51" xfId="0" applyFont="1" applyFill="1" applyBorder="1" applyAlignment="1">
      <alignment horizontal="center"/>
    </xf>
    <xf numFmtId="0" fontId="5" fillId="0" borderId="37" xfId="0" applyFont="1" applyFill="1" applyBorder="1" applyAlignment="1">
      <alignment/>
    </xf>
    <xf numFmtId="0" fontId="106"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4" applyFont="1" applyFill="1" applyBorder="1" applyAlignment="1">
      <alignment horizontal="center"/>
    </xf>
    <xf numFmtId="9" fontId="3" fillId="34" borderId="50" xfId="74" applyFont="1" applyFill="1" applyBorder="1" applyAlignment="1">
      <alignment horizontal="center"/>
    </xf>
    <xf numFmtId="9" fontId="3" fillId="34" borderId="62" xfId="74" applyFont="1" applyFill="1" applyBorder="1" applyAlignment="1">
      <alignment horizontal="center"/>
    </xf>
    <xf numFmtId="0" fontId="124" fillId="33" borderId="34" xfId="0" applyFont="1" applyFill="1" applyBorder="1" applyAlignment="1">
      <alignment horizontal="left" indent="1"/>
    </xf>
    <xf numFmtId="0" fontId="117" fillId="33" borderId="33" xfId="0" applyFont="1" applyFill="1" applyBorder="1" applyAlignment="1">
      <alignment horizontal="center"/>
    </xf>
    <xf numFmtId="170" fontId="118"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1" fillId="0" borderId="0" xfId="0" applyFont="1" applyFill="1" applyBorder="1" applyAlignment="1">
      <alignment/>
    </xf>
    <xf numFmtId="0" fontId="6" fillId="0" borderId="18" xfId="0" applyFont="1" applyFill="1" applyBorder="1" applyAlignment="1">
      <alignment horizontal="center"/>
    </xf>
    <xf numFmtId="0" fontId="2" fillId="0" borderId="18" xfId="0" applyFont="1" applyFill="1" applyBorder="1" applyAlignment="1">
      <alignment horizontal="center"/>
    </xf>
    <xf numFmtId="0" fontId="6" fillId="0" borderId="22" xfId="0" applyFont="1" applyFill="1" applyBorder="1" applyAlignment="1">
      <alignment horizontal="center"/>
    </xf>
    <xf numFmtId="0" fontId="113" fillId="0" borderId="0" xfId="0" applyFont="1" applyFill="1" applyBorder="1" applyAlignment="1">
      <alignment horizontal="center"/>
    </xf>
    <xf numFmtId="0" fontId="2" fillId="0" borderId="49" xfId="0" applyFont="1" applyFill="1" applyBorder="1" applyAlignment="1">
      <alignment/>
    </xf>
    <xf numFmtId="6" fontId="106" fillId="0" borderId="20" xfId="0" applyNumberFormat="1" applyFont="1" applyFill="1" applyBorder="1" applyAlignment="1">
      <alignment horizontal="right"/>
    </xf>
    <xf numFmtId="5" fontId="106" fillId="34" borderId="20" xfId="50" applyNumberFormat="1" applyFont="1" applyFill="1" applyBorder="1" applyAlignment="1">
      <alignment horizontal="right"/>
    </xf>
    <xf numFmtId="0" fontId="5" fillId="0" borderId="59" xfId="0" applyFont="1" applyFill="1" applyBorder="1" applyAlignment="1">
      <alignment/>
    </xf>
    <xf numFmtId="0" fontId="107" fillId="36" borderId="20" xfId="0" applyFont="1" applyFill="1" applyBorder="1" applyAlignment="1">
      <alignment horizontal="center"/>
    </xf>
    <xf numFmtId="9" fontId="106" fillId="36" borderId="20" xfId="74" applyFont="1" applyFill="1" applyBorder="1" applyAlignment="1">
      <alignment horizontal="center"/>
    </xf>
    <xf numFmtId="164" fontId="106" fillId="0" borderId="64" xfId="74" applyNumberFormat="1" applyFont="1" applyFill="1" applyBorder="1" applyAlignment="1">
      <alignment horizontal="center"/>
    </xf>
    <xf numFmtId="164" fontId="106" fillId="0" borderId="65" xfId="74" applyNumberFormat="1" applyFont="1" applyFill="1" applyBorder="1" applyAlignment="1">
      <alignment horizontal="center"/>
    </xf>
    <xf numFmtId="0" fontId="16" fillId="0" borderId="60"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66" xfId="74"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6"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3" fillId="0" borderId="64" xfId="0" applyFont="1" applyBorder="1" applyAlignment="1">
      <alignment/>
    </xf>
    <xf numFmtId="0" fontId="103" fillId="0" borderId="63" xfId="0" applyFont="1" applyBorder="1" applyAlignment="1">
      <alignment horizontal="center"/>
    </xf>
    <xf numFmtId="0" fontId="106" fillId="0" borderId="20" xfId="74" applyNumberFormat="1" applyFont="1" applyFill="1" applyBorder="1" applyAlignment="1">
      <alignment horizontal="right"/>
    </xf>
    <xf numFmtId="2" fontId="106" fillId="36" borderId="51" xfId="0" applyNumberFormat="1" applyFont="1" applyFill="1" applyBorder="1" applyAlignment="1">
      <alignment horizontal="center"/>
    </xf>
    <xf numFmtId="0" fontId="5" fillId="0" borderId="49" xfId="0" applyFont="1" applyBorder="1" applyAlignment="1">
      <alignment/>
    </xf>
    <xf numFmtId="0" fontId="106" fillId="34" borderId="20" xfId="74" applyNumberFormat="1" applyFont="1" applyFill="1" applyBorder="1" applyAlignment="1">
      <alignment horizontal="right"/>
    </xf>
    <xf numFmtId="164" fontId="106" fillId="34" borderId="32" xfId="74" applyNumberFormat="1" applyFont="1" applyFill="1" applyBorder="1" applyAlignment="1">
      <alignment horizontal="right"/>
    </xf>
    <xf numFmtId="0" fontId="103" fillId="0" borderId="0" xfId="0" applyFont="1" applyAlignment="1">
      <alignment/>
    </xf>
    <xf numFmtId="179" fontId="77" fillId="0" borderId="19" xfId="50" applyNumberFormat="1" applyFont="1" applyBorder="1" applyAlignment="1">
      <alignment/>
    </xf>
    <xf numFmtId="10" fontId="0" fillId="0" borderId="0" xfId="0" applyNumberFormat="1" applyAlignment="1">
      <alignment/>
    </xf>
    <xf numFmtId="0" fontId="129" fillId="0" borderId="0" xfId="0" applyFont="1" applyAlignment="1">
      <alignment/>
    </xf>
    <xf numFmtId="0" fontId="130" fillId="0" borderId="0" xfId="0" applyFont="1" applyAlignment="1">
      <alignment/>
    </xf>
    <xf numFmtId="9" fontId="0" fillId="0" borderId="0" xfId="74" applyFont="1" applyAlignment="1">
      <alignment/>
    </xf>
    <xf numFmtId="0" fontId="0" fillId="0" borderId="0" xfId="0" applyBorder="1" applyAlignment="1">
      <alignment textRotation="90"/>
    </xf>
    <xf numFmtId="0" fontId="103" fillId="0" borderId="31" xfId="0" applyFont="1" applyBorder="1" applyAlignment="1">
      <alignment horizontal="center"/>
    </xf>
    <xf numFmtId="0" fontId="32" fillId="0" borderId="0" xfId="0" applyFont="1" applyAlignment="1">
      <alignment vertical="center"/>
    </xf>
    <xf numFmtId="0" fontId="80" fillId="0" borderId="0" xfId="0" applyFont="1" applyAlignment="1">
      <alignment horizontal="center" vertical="center"/>
    </xf>
    <xf numFmtId="0" fontId="80" fillId="0" borderId="0" xfId="0" applyFont="1" applyAlignment="1" quotePrefix="1">
      <alignment horizontal="center" vertical="center"/>
    </xf>
    <xf numFmtId="0" fontId="77" fillId="0" borderId="0" xfId="0" applyFont="1" applyFill="1" applyBorder="1" applyAlignment="1">
      <alignment/>
    </xf>
    <xf numFmtId="179" fontId="77" fillId="0" borderId="0" xfId="0" applyNumberFormat="1" applyFont="1" applyBorder="1" applyAlignment="1">
      <alignment/>
    </xf>
    <xf numFmtId="172" fontId="0" fillId="0" borderId="0" xfId="0" applyNumberFormat="1" applyAlignment="1">
      <alignment/>
    </xf>
    <xf numFmtId="172" fontId="103" fillId="0" borderId="0" xfId="0" applyNumberFormat="1" applyFont="1" applyBorder="1" applyAlignment="1">
      <alignment horizontal="center"/>
    </xf>
    <xf numFmtId="0" fontId="0" fillId="0" borderId="0" xfId="0" applyFill="1" applyBorder="1" applyAlignment="1">
      <alignment horizontal="center"/>
    </xf>
    <xf numFmtId="0" fontId="103" fillId="0" borderId="0" xfId="0" applyFont="1" applyBorder="1" applyAlignment="1">
      <alignment horizontal="left"/>
    </xf>
    <xf numFmtId="170" fontId="103" fillId="0" borderId="32" xfId="0" applyNumberFormat="1" applyFont="1" applyBorder="1" applyAlignment="1">
      <alignment horizontal="center"/>
    </xf>
    <xf numFmtId="170" fontId="0" fillId="0" borderId="32" xfId="0" applyNumberFormat="1" applyFont="1" applyBorder="1" applyAlignment="1">
      <alignment horizontal="center"/>
    </xf>
    <xf numFmtId="0" fontId="103" fillId="0" borderId="36" xfId="0" applyFont="1" applyBorder="1" applyAlignment="1">
      <alignment horizontal="left"/>
    </xf>
    <xf numFmtId="170" fontId="103" fillId="0" borderId="30" xfId="0" applyNumberFormat="1" applyFont="1" applyBorder="1" applyAlignment="1">
      <alignment horizontal="center"/>
    </xf>
    <xf numFmtId="170" fontId="103" fillId="0" borderId="14" xfId="0" applyNumberFormat="1" applyFont="1" applyBorder="1" applyAlignment="1">
      <alignment horizontal="center"/>
    </xf>
    <xf numFmtId="170" fontId="103" fillId="0" borderId="20" xfId="0" applyNumberFormat="1" applyFont="1" applyBorder="1" applyAlignment="1">
      <alignment horizontal="center"/>
    </xf>
    <xf numFmtId="0" fontId="81" fillId="0" borderId="0" xfId="0" applyFont="1" applyBorder="1" applyAlignment="1">
      <alignment horizontal="center" vertical="center" textRotation="90"/>
    </xf>
    <xf numFmtId="0" fontId="0" fillId="0" borderId="0" xfId="0" applyAlignment="1">
      <alignment horizontal="center"/>
    </xf>
    <xf numFmtId="0" fontId="0" fillId="0" borderId="0" xfId="0" applyBorder="1" applyAlignment="1" quotePrefix="1">
      <alignment horizontal="center"/>
    </xf>
    <xf numFmtId="0" fontId="0" fillId="0" borderId="0" xfId="0" applyBorder="1" applyAlignment="1">
      <alignment horizontal="center"/>
    </xf>
    <xf numFmtId="172" fontId="0" fillId="0" borderId="0" xfId="0" applyNumberFormat="1" applyBorder="1" applyAlignment="1">
      <alignment horizontal="center"/>
    </xf>
    <xf numFmtId="44" fontId="0" fillId="0" borderId="0" xfId="0" applyNumberFormat="1" applyAlignment="1">
      <alignment/>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103"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0" fontId="0" fillId="0" borderId="0" xfId="0" applyNumberFormat="1" applyAlignment="1">
      <alignment horizontal="center"/>
    </xf>
    <xf numFmtId="2" fontId="103" fillId="0" borderId="36" xfId="0" applyNumberFormat="1" applyFont="1" applyFill="1" applyBorder="1" applyAlignment="1">
      <alignment horizontal="left"/>
    </xf>
    <xf numFmtId="172" fontId="103" fillId="0" borderId="38" xfId="0" applyNumberFormat="1" applyFont="1" applyFill="1" applyBorder="1" applyAlignment="1">
      <alignment horizontal="left"/>
    </xf>
    <xf numFmtId="170" fontId="0" fillId="0" borderId="0" xfId="0" applyNumberFormat="1" applyAlignment="1">
      <alignment/>
    </xf>
    <xf numFmtId="170" fontId="103" fillId="0" borderId="0" xfId="0" applyNumberFormat="1" applyFont="1" applyAlignment="1">
      <alignment/>
    </xf>
    <xf numFmtId="170" fontId="103" fillId="0" borderId="0" xfId="0" applyNumberFormat="1" applyFont="1" applyBorder="1" applyAlignment="1">
      <alignment/>
    </xf>
    <xf numFmtId="0" fontId="103" fillId="0" borderId="36" xfId="0" applyFont="1" applyFill="1" applyBorder="1" applyAlignment="1">
      <alignment horizontal="left"/>
    </xf>
    <xf numFmtId="170" fontId="103" fillId="0" borderId="14" xfId="0" applyNumberFormat="1" applyFont="1" applyFill="1" applyBorder="1" applyAlignment="1">
      <alignment horizontal="center"/>
    </xf>
    <xf numFmtId="170" fontId="103" fillId="0" borderId="20" xfId="0" applyNumberFormat="1" applyFont="1" applyFill="1" applyBorder="1" applyAlignment="1">
      <alignment horizontal="center"/>
    </xf>
    <xf numFmtId="0" fontId="103" fillId="0" borderId="0" xfId="0" applyFont="1" applyBorder="1" applyAlignment="1" quotePrefix="1">
      <alignment horizontal="center"/>
    </xf>
    <xf numFmtId="0" fontId="103" fillId="0" borderId="0" xfId="0" applyFont="1" applyBorder="1" applyAlignment="1">
      <alignment/>
    </xf>
    <xf numFmtId="170" fontId="0" fillId="0" borderId="20" xfId="0" applyNumberFormat="1" applyFont="1" applyFill="1" applyBorder="1" applyAlignment="1">
      <alignment horizontal="center"/>
    </xf>
    <xf numFmtId="2" fontId="103" fillId="0" borderId="37" xfId="0" applyNumberFormat="1" applyFont="1" applyFill="1" applyBorder="1" applyAlignment="1">
      <alignment horizontal="left"/>
    </xf>
    <xf numFmtId="172" fontId="131" fillId="0" borderId="0" xfId="0" applyNumberFormat="1" applyFont="1" applyBorder="1" applyAlignment="1">
      <alignment/>
    </xf>
    <xf numFmtId="170" fontId="103" fillId="0" borderId="13" xfId="0" applyNumberFormat="1" applyFont="1" applyBorder="1" applyAlignment="1">
      <alignment horizontal="center"/>
    </xf>
    <xf numFmtId="0" fontId="103" fillId="0" borderId="37" xfId="0" applyFont="1" applyBorder="1" applyAlignment="1">
      <alignment horizontal="left"/>
    </xf>
    <xf numFmtId="170" fontId="103" fillId="0" borderId="42" xfId="0" applyNumberFormat="1" applyFont="1" applyBorder="1" applyAlignment="1">
      <alignment horizontal="center"/>
    </xf>
    <xf numFmtId="0" fontId="0" fillId="0" borderId="0" xfId="0" applyAlignment="1">
      <alignment horizontal="center"/>
    </xf>
    <xf numFmtId="9" fontId="106" fillId="34" borderId="35" xfId="74" applyFont="1" applyFill="1" applyBorder="1" applyAlignment="1">
      <alignment horizontal="right"/>
    </xf>
    <xf numFmtId="168" fontId="106" fillId="34" borderId="42" xfId="74" applyNumberFormat="1" applyFont="1" applyFill="1" applyBorder="1" applyAlignment="1">
      <alignment horizontal="right"/>
    </xf>
    <xf numFmtId="0" fontId="132" fillId="0" borderId="0" xfId="0" applyFont="1" applyAlignment="1">
      <alignment/>
    </xf>
    <xf numFmtId="0" fontId="103" fillId="0" borderId="34" xfId="0" applyFont="1" applyBorder="1" applyAlignment="1">
      <alignment horizontal="left"/>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0" fontId="103" fillId="0" borderId="52" xfId="0" applyFont="1" applyBorder="1" applyAlignment="1">
      <alignment horizontal="right"/>
    </xf>
    <xf numFmtId="0" fontId="77" fillId="37" borderId="0" xfId="0" applyFont="1" applyFill="1" applyBorder="1" applyAlignment="1">
      <alignment/>
    </xf>
    <xf numFmtId="0" fontId="103" fillId="0" borderId="36" xfId="0" applyFont="1" applyBorder="1" applyAlignment="1">
      <alignment horizontal="right"/>
    </xf>
    <xf numFmtId="0" fontId="103" fillId="0" borderId="38" xfId="0" applyFont="1" applyBorder="1" applyAlignment="1">
      <alignment horizontal="left"/>
    </xf>
    <xf numFmtId="170" fontId="103" fillId="0" borderId="32" xfId="0" applyNumberFormat="1" applyFont="1" applyBorder="1" applyAlignment="1">
      <alignment horizontal="center"/>
    </xf>
    <xf numFmtId="170" fontId="103" fillId="0" borderId="30" xfId="0" applyNumberFormat="1" applyFont="1" applyBorder="1" applyAlignment="1">
      <alignment horizontal="center"/>
    </xf>
    <xf numFmtId="0" fontId="103" fillId="0" borderId="37" xfId="0" applyFont="1" applyBorder="1" applyAlignment="1">
      <alignment/>
    </xf>
    <xf numFmtId="0" fontId="103" fillId="33" borderId="40" xfId="0" applyFont="1" applyFill="1" applyBorder="1" applyAlignment="1">
      <alignment horizontal="center"/>
    </xf>
    <xf numFmtId="0" fontId="103" fillId="33" borderId="41" xfId="0" applyFont="1" applyFill="1" applyBorder="1" applyAlignment="1">
      <alignment horizontal="center"/>
    </xf>
    <xf numFmtId="181" fontId="0" fillId="0" borderId="0" xfId="0" applyNumberFormat="1" applyAlignment="1">
      <alignment/>
    </xf>
    <xf numFmtId="0" fontId="77" fillId="37" borderId="19" xfId="0" applyFont="1" applyFill="1" applyBorder="1" applyAlignment="1">
      <alignment/>
    </xf>
    <xf numFmtId="0" fontId="81" fillId="0" borderId="0" xfId="0" applyFont="1" applyBorder="1" applyAlignment="1">
      <alignment vertical="center" textRotation="90"/>
    </xf>
    <xf numFmtId="0" fontId="0" fillId="0" borderId="0" xfId="0" applyAlignment="1">
      <alignment horizontal="center"/>
    </xf>
    <xf numFmtId="0" fontId="0" fillId="0" borderId="0" xfId="0" applyAlignment="1">
      <alignment horizontal="center"/>
    </xf>
    <xf numFmtId="0" fontId="130" fillId="0" borderId="0" xfId="0" applyFont="1" applyBorder="1" applyAlignment="1">
      <alignment horizontal="center"/>
    </xf>
    <xf numFmtId="10" fontId="106" fillId="8" borderId="42" xfId="74" applyNumberFormat="1" applyFont="1" applyFill="1" applyBorder="1" applyAlignment="1">
      <alignment horizontal="right"/>
    </xf>
    <xf numFmtId="176" fontId="106" fillId="8" borderId="42" xfId="0" applyNumberFormat="1" applyFont="1" applyFill="1" applyBorder="1" applyAlignment="1">
      <alignment horizontal="right"/>
    </xf>
    <xf numFmtId="8" fontId="106" fillId="8" borderId="51" xfId="0" applyNumberFormat="1" applyFont="1" applyFill="1" applyBorder="1" applyAlignment="1">
      <alignment horizontal="right"/>
    </xf>
    <xf numFmtId="0" fontId="130" fillId="33" borderId="10" xfId="0" applyFont="1" applyFill="1" applyBorder="1" applyAlignment="1">
      <alignment vertical="center"/>
    </xf>
    <xf numFmtId="0" fontId="103" fillId="33" borderId="11" xfId="0" applyFont="1" applyFill="1" applyBorder="1" applyAlignment="1">
      <alignment horizontal="center" vertical="center" wrapText="1"/>
    </xf>
    <xf numFmtId="0" fontId="103" fillId="33" borderId="12" xfId="0" applyFont="1" applyFill="1" applyBorder="1" applyAlignment="1">
      <alignment horizontal="center" vertical="center" wrapText="1"/>
    </xf>
    <xf numFmtId="172" fontId="0" fillId="0" borderId="0" xfId="0" applyNumberFormat="1" applyAlignment="1">
      <alignment vertical="center" wrapText="1"/>
    </xf>
    <xf numFmtId="0" fontId="103" fillId="33" borderId="25" xfId="0" applyFont="1" applyFill="1" applyBorder="1" applyAlignment="1">
      <alignment horizontal="left" vertical="center" wrapText="1"/>
    </xf>
    <xf numFmtId="0" fontId="103" fillId="33" borderId="19" xfId="0" applyFont="1" applyFill="1" applyBorder="1" applyAlignment="1">
      <alignment horizontal="center" vertical="center" wrapText="1"/>
    </xf>
    <xf numFmtId="0" fontId="103" fillId="33" borderId="22" xfId="0" applyFont="1" applyFill="1" applyBorder="1" applyAlignment="1">
      <alignment horizontal="center" vertical="center" wrapText="1"/>
    </xf>
    <xf numFmtId="0" fontId="0" fillId="0" borderId="0" xfId="0" applyAlignment="1">
      <alignment vertical="center" wrapText="1"/>
    </xf>
    <xf numFmtId="0" fontId="103" fillId="33" borderId="10" xfId="0" applyFont="1" applyFill="1" applyBorder="1" applyAlignment="1">
      <alignment horizontal="left" vertical="center" wrapText="1"/>
    </xf>
    <xf numFmtId="0" fontId="130" fillId="33" borderId="10" xfId="0" applyFont="1" applyFill="1" applyBorder="1" applyAlignment="1">
      <alignment/>
    </xf>
    <xf numFmtId="10" fontId="106" fillId="8" borderId="35" xfId="74" applyNumberFormat="1" applyFont="1" applyFill="1" applyBorder="1" applyAlignment="1">
      <alignment horizontal="right"/>
    </xf>
    <xf numFmtId="164" fontId="106" fillId="8" borderId="42" xfId="74" applyNumberFormat="1" applyFont="1" applyFill="1" applyBorder="1" applyAlignment="1">
      <alignment horizontal="right"/>
    </xf>
    <xf numFmtId="170" fontId="106" fillId="8" borderId="35" xfId="0" applyNumberFormat="1" applyFont="1" applyFill="1" applyBorder="1" applyAlignment="1">
      <alignment horizontal="right"/>
    </xf>
    <xf numFmtId="2" fontId="118" fillId="43" borderId="42" xfId="0" applyNumberFormat="1" applyFont="1" applyFill="1" applyBorder="1" applyAlignment="1">
      <alignment horizontal="right"/>
    </xf>
    <xf numFmtId="168" fontId="106" fillId="8" borderId="42" xfId="0" applyNumberFormat="1" applyFont="1" applyFill="1" applyBorder="1" applyAlignment="1">
      <alignment horizontal="right"/>
    </xf>
    <xf numFmtId="9" fontId="106" fillId="8" borderId="32" xfId="0" applyNumberFormat="1" applyFont="1" applyFill="1" applyBorder="1" applyAlignment="1">
      <alignment horizontal="center"/>
    </xf>
    <xf numFmtId="6" fontId="5" fillId="0" borderId="69"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103" fillId="0" borderId="34" xfId="0" applyFont="1" applyFill="1" applyBorder="1" applyAlignment="1">
      <alignment horizontal="left"/>
    </xf>
    <xf numFmtId="170" fontId="103" fillId="0" borderId="33" xfId="0" applyNumberFormat="1" applyFont="1" applyBorder="1" applyAlignment="1">
      <alignment horizontal="center"/>
    </xf>
    <xf numFmtId="170" fontId="103" fillId="0" borderId="35" xfId="0" applyNumberFormat="1" applyFont="1" applyBorder="1" applyAlignment="1">
      <alignment horizontal="center"/>
    </xf>
    <xf numFmtId="170" fontId="0" fillId="0" borderId="13" xfId="0" applyNumberFormat="1" applyFont="1" applyBorder="1" applyAlignment="1">
      <alignment horizontal="center"/>
    </xf>
    <xf numFmtId="170" fontId="0" fillId="0" borderId="42" xfId="0" applyNumberFormat="1" applyFont="1" applyBorder="1" applyAlignment="1">
      <alignment horizontal="center"/>
    </xf>
    <xf numFmtId="0" fontId="103" fillId="44" borderId="10" xfId="0" applyFont="1" applyFill="1" applyBorder="1" applyAlignment="1">
      <alignment horizontal="left" vertical="center" wrapText="1"/>
    </xf>
    <xf numFmtId="0" fontId="103" fillId="44" borderId="11" xfId="0" applyFont="1" applyFill="1" applyBorder="1" applyAlignment="1">
      <alignment horizontal="center" vertical="center" wrapText="1"/>
    </xf>
    <xf numFmtId="0" fontId="103" fillId="44" borderId="12" xfId="0" applyFont="1" applyFill="1" applyBorder="1" applyAlignment="1">
      <alignment horizontal="center" vertical="center" wrapText="1"/>
    </xf>
    <xf numFmtId="170" fontId="0" fillId="0" borderId="14" xfId="0" applyNumberFormat="1" applyFont="1" applyFill="1" applyBorder="1" applyAlignment="1">
      <alignment horizontal="center"/>
    </xf>
    <xf numFmtId="0" fontId="132"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103"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0" fillId="0" borderId="29" xfId="0" applyBorder="1" applyAlignment="1">
      <alignment/>
    </xf>
    <xf numFmtId="0" fontId="103" fillId="0" borderId="29" xfId="0" applyFont="1" applyFill="1" applyBorder="1" applyAlignment="1">
      <alignment/>
    </xf>
    <xf numFmtId="9" fontId="0" fillId="0" borderId="28" xfId="74" applyFont="1" applyBorder="1" applyAlignment="1">
      <alignment/>
    </xf>
    <xf numFmtId="0" fontId="0" fillId="0" borderId="28" xfId="0" applyBorder="1" applyAlignment="1">
      <alignment/>
    </xf>
    <xf numFmtId="168" fontId="0" fillId="0" borderId="28" xfId="0" applyNumberFormat="1" applyBorder="1" applyAlignment="1">
      <alignment/>
    </xf>
    <xf numFmtId="170" fontId="0" fillId="0" borderId="28" xfId="0" applyNumberFormat="1" applyBorder="1" applyAlignment="1">
      <alignment/>
    </xf>
    <xf numFmtId="0" fontId="103" fillId="0" borderId="70" xfId="0" applyFont="1" applyBorder="1" applyAlignment="1">
      <alignment/>
    </xf>
    <xf numFmtId="0" fontId="0" fillId="0" borderId="16" xfId="0" applyBorder="1" applyAlignment="1">
      <alignment horizontal="center"/>
    </xf>
    <xf numFmtId="9" fontId="0" fillId="0" borderId="71" xfId="74" applyFont="1" applyBorder="1" applyAlignment="1">
      <alignment/>
    </xf>
    <xf numFmtId="0" fontId="103" fillId="0" borderId="64" xfId="0" applyFont="1" applyFill="1" applyBorder="1" applyAlignment="1">
      <alignment/>
    </xf>
    <xf numFmtId="0" fontId="0" fillId="0" borderId="31" xfId="0" applyBorder="1" applyAlignment="1">
      <alignment/>
    </xf>
    <xf numFmtId="0" fontId="103" fillId="0" borderId="72" xfId="0" applyFont="1" applyBorder="1" applyAlignment="1">
      <alignment/>
    </xf>
    <xf numFmtId="9" fontId="0" fillId="0" borderId="68" xfId="74" applyFont="1" applyBorder="1" applyAlignment="1">
      <alignment/>
    </xf>
    <xf numFmtId="0" fontId="0" fillId="0" borderId="71" xfId="0" applyBorder="1" applyAlignment="1">
      <alignment/>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0" fontId="0" fillId="0" borderId="28" xfId="74" applyNumberFormat="1" applyFont="1" applyBorder="1" applyAlignment="1">
      <alignment horizontal="center"/>
    </xf>
    <xf numFmtId="10" fontId="0" fillId="0" borderId="28" xfId="0" applyNumberFormat="1" applyBorder="1" applyAlignment="1">
      <alignment horizontal="center"/>
    </xf>
    <xf numFmtId="168" fontId="0" fillId="0" borderId="28" xfId="0" applyNumberFormat="1" applyBorder="1" applyAlignment="1">
      <alignment horizontal="center"/>
    </xf>
    <xf numFmtId="0" fontId="103" fillId="0" borderId="72" xfId="0" applyFont="1" applyFill="1" applyBorder="1" applyAlignment="1">
      <alignment/>
    </xf>
    <xf numFmtId="168" fontId="0" fillId="0" borderId="71" xfId="0" applyNumberFormat="1" applyBorder="1" applyAlignment="1">
      <alignment horizontal="center"/>
    </xf>
    <xf numFmtId="9" fontId="0" fillId="0" borderId="28" xfId="0" applyNumberFormat="1" applyBorder="1" applyAlignment="1">
      <alignment horizontal="center"/>
    </xf>
    <xf numFmtId="164" fontId="0" fillId="0" borderId="28" xfId="74" applyNumberFormat="1" applyFont="1" applyBorder="1" applyAlignment="1">
      <alignment horizontal="center"/>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2" xfId="0" applyNumberFormat="1" applyFont="1" applyFill="1" applyBorder="1" applyAlignment="1">
      <alignment horizontal="center"/>
    </xf>
    <xf numFmtId="170" fontId="0" fillId="0" borderId="14" xfId="0" applyNumberFormat="1" applyFill="1" applyBorder="1" applyAlignment="1">
      <alignment horizontal="center"/>
    </xf>
    <xf numFmtId="170" fontId="0" fillId="0" borderId="20" xfId="0" applyNumberFormat="1" applyFont="1" applyFill="1" applyBorder="1" applyAlignment="1">
      <alignment horizontal="center"/>
    </xf>
    <xf numFmtId="170" fontId="0" fillId="0" borderId="30" xfId="0" applyNumberFormat="1" applyFont="1" applyFill="1" applyBorder="1" applyAlignment="1">
      <alignment horizontal="center"/>
    </xf>
    <xf numFmtId="170" fontId="0" fillId="0" borderId="33" xfId="0" applyNumberFormat="1" applyFill="1" applyBorder="1" applyAlignment="1">
      <alignment horizontal="center"/>
    </xf>
    <xf numFmtId="170" fontId="0" fillId="0" borderId="35" xfId="0" applyNumberFormat="1" applyFont="1" applyFill="1" applyBorder="1" applyAlignment="1">
      <alignment horizontal="center"/>
    </xf>
    <xf numFmtId="0" fontId="103" fillId="0" borderId="68" xfId="0" applyFont="1" applyFill="1" applyBorder="1" applyAlignment="1">
      <alignment/>
    </xf>
    <xf numFmtId="170" fontId="0" fillId="0" borderId="46" xfId="0" applyNumberFormat="1" applyFont="1" applyBorder="1" applyAlignment="1">
      <alignment horizontal="center"/>
    </xf>
    <xf numFmtId="170" fontId="0" fillId="0" borderId="43" xfId="0" applyNumberFormat="1" applyFont="1" applyBorder="1" applyAlignment="1">
      <alignment horizontal="center"/>
    </xf>
    <xf numFmtId="0" fontId="130" fillId="0" borderId="0" xfId="0" applyFont="1" applyBorder="1" applyAlignment="1">
      <alignment horizontal="center"/>
    </xf>
    <xf numFmtId="164" fontId="106" fillId="0" borderId="64" xfId="74" applyNumberFormat="1" applyFont="1" applyFill="1" applyBorder="1" applyAlignment="1">
      <alignment horizontal="center"/>
    </xf>
    <xf numFmtId="164" fontId="106" fillId="0" borderId="63" xfId="74" applyNumberFormat="1" applyFont="1" applyFill="1" applyBorder="1" applyAlignment="1">
      <alignment horizontal="center"/>
    </xf>
    <xf numFmtId="164" fontId="106" fillId="0" borderId="31" xfId="74" applyNumberFormat="1" applyFont="1" applyFill="1" applyBorder="1" applyAlignment="1">
      <alignment horizontal="center"/>
    </xf>
    <xf numFmtId="164" fontId="106" fillId="0" borderId="65" xfId="74" applyNumberFormat="1" applyFont="1" applyFill="1" applyBorder="1" applyAlignment="1">
      <alignment horizontal="center"/>
    </xf>
    <xf numFmtId="164" fontId="106" fillId="0" borderId="54" xfId="74" applyNumberFormat="1" applyFont="1" applyFill="1" applyBorder="1" applyAlignment="1">
      <alignment horizontal="center"/>
    </xf>
    <xf numFmtId="164" fontId="106" fillId="0" borderId="48" xfId="74"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3" fillId="0" borderId="17" xfId="0" applyFont="1" applyFill="1" applyBorder="1" applyAlignment="1">
      <alignment horizontal="center"/>
    </xf>
    <xf numFmtId="0" fontId="6" fillId="33" borderId="11" xfId="0" applyFont="1" applyFill="1" applyBorder="1" applyAlignment="1">
      <alignment horizontal="center" vertical="center"/>
    </xf>
    <xf numFmtId="0" fontId="16" fillId="0" borderId="60" xfId="0" applyFont="1" applyFill="1" applyBorder="1" applyAlignment="1">
      <alignment horizontal="center"/>
    </xf>
    <xf numFmtId="0" fontId="16" fillId="0" borderId="11" xfId="0" applyFont="1" applyFill="1" applyBorder="1" applyAlignment="1">
      <alignment horizontal="center"/>
    </xf>
    <xf numFmtId="0" fontId="16" fillId="0" borderId="73"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11" xfId="74" applyNumberFormat="1" applyFont="1" applyFill="1" applyBorder="1" applyAlignment="1">
      <alignment horizontal="center"/>
    </xf>
    <xf numFmtId="164" fontId="106" fillId="0" borderId="73" xfId="74" applyNumberFormat="1" applyFont="1" applyFill="1" applyBorder="1" applyAlignment="1">
      <alignment horizontal="center"/>
    </xf>
    <xf numFmtId="164" fontId="106" fillId="0" borderId="66" xfId="74" applyNumberFormat="1" applyFont="1" applyFill="1" applyBorder="1" applyAlignment="1">
      <alignment horizontal="center"/>
    </xf>
    <xf numFmtId="164" fontId="106" fillId="0" borderId="57" xfId="74" applyNumberFormat="1" applyFont="1" applyFill="1" applyBorder="1" applyAlignment="1">
      <alignment horizontal="center"/>
    </xf>
    <xf numFmtId="164" fontId="106" fillId="0" borderId="74" xfId="74" applyNumberFormat="1"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85" fillId="0" borderId="0" xfId="0" applyFont="1" applyBorder="1" applyAlignment="1">
      <alignment horizontal="center" vertical="center" textRotation="90" wrapText="1"/>
    </xf>
    <xf numFmtId="0" fontId="132" fillId="0" borderId="0" xfId="0" applyFont="1" applyAlignment="1">
      <alignment horizontal="center" wrapText="1"/>
    </xf>
    <xf numFmtId="0" fontId="132" fillId="0" borderId="0" xfId="0" applyFont="1" applyAlignment="1">
      <alignment horizontal="center"/>
    </xf>
    <xf numFmtId="0" fontId="0" fillId="0" borderId="0" xfId="0" applyAlignment="1">
      <alignment horizontal="center"/>
    </xf>
    <xf numFmtId="0" fontId="103" fillId="0" borderId="0" xfId="0" applyFont="1" applyBorder="1" applyAlignment="1">
      <alignment horizontal="righ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rmal 4 2" xfId="66"/>
    <cellStyle name="Normal 5" xfId="67"/>
    <cellStyle name="Normal 6" xfId="68"/>
    <cellStyle name="Normal 7" xfId="69"/>
    <cellStyle name="Normal 7 2" xfId="70"/>
    <cellStyle name="Normal 8" xfId="71"/>
    <cellStyle name="Note" xfId="72"/>
    <cellStyle name="Output" xfId="73"/>
    <cellStyle name="Percent" xfId="74"/>
    <cellStyle name="Percent 2" xfId="75"/>
    <cellStyle name="Percent 3" xfId="76"/>
    <cellStyle name="Title" xfId="77"/>
    <cellStyle name="Total" xfId="78"/>
    <cellStyle name="Warning Text" xfId="79"/>
  </cellStyles>
  <dxfs count="147">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7"/>
  <sheetViews>
    <sheetView showGridLines="0" tabSelected="1" zoomScalePageLayoutView="0" workbookViewId="0" topLeftCell="A1">
      <selection activeCell="L38" sqref="J33:L38"/>
    </sheetView>
  </sheetViews>
  <sheetFormatPr defaultColWidth="9.140625" defaultRowHeight="15"/>
  <cols>
    <col min="1" max="1" width="4.00390625" style="0" customWidth="1"/>
    <col min="2" max="2" width="43.57421875" style="0" customWidth="1"/>
    <col min="3" max="3" width="16.00390625" style="0" customWidth="1"/>
    <col min="4" max="4" width="17.421875" style="0" customWidth="1"/>
    <col min="5" max="5" width="4.00390625" style="0" customWidth="1"/>
    <col min="6" max="7" width="19.421875" style="0" customWidth="1"/>
    <col min="8" max="8" width="18.57421875" style="0" customWidth="1"/>
    <col min="9" max="9" width="4.00390625" style="0" customWidth="1"/>
    <col min="10" max="10" width="17.8515625" style="0" customWidth="1"/>
    <col min="11" max="11" width="21.140625" style="0" customWidth="1"/>
    <col min="12" max="12" width="19.140625" style="0" customWidth="1"/>
  </cols>
  <sheetData>
    <row r="1" ht="16.5" customHeight="1" thickBot="1">
      <c r="F1" s="524"/>
    </row>
    <row r="2" spans="2:4" ht="19.5" thickBot="1">
      <c r="B2" s="572" t="s">
        <v>355</v>
      </c>
      <c r="C2" s="552" t="s">
        <v>383</v>
      </c>
      <c r="D2" s="553" t="s">
        <v>322</v>
      </c>
    </row>
    <row r="3" spans="1:8" ht="15.75">
      <c r="A3" s="494"/>
      <c r="B3" s="551" t="s">
        <v>349</v>
      </c>
      <c r="C3" s="580">
        <f>NPV('Input Assumptions'!$D$9,'Cash Flow'!$G$23:$AE$23)</f>
        <v>3758081.825603681</v>
      </c>
      <c r="D3" s="581">
        <f>NPV('Input Assumptions'!$D$9,'Cash Flow'!$G$23:$AE$23)</f>
        <v>3758081.825603681</v>
      </c>
      <c r="G3" s="491"/>
      <c r="H3" s="491"/>
    </row>
    <row r="4" spans="1:4" ht="15.75">
      <c r="A4" s="495"/>
      <c r="B4" s="547" t="s">
        <v>350</v>
      </c>
      <c r="C4" s="582">
        <f>NPV('Input Assumptions'!$D$9,'Net Metering Credit'!$C$17:$AA$17)*'Input Assumptions'!$D$19</f>
        <v>1016021.7473758734</v>
      </c>
      <c r="D4" s="583">
        <f>NPV('Input Assumptions'!$D$9,'Net Metering Credit'!$C$16:$AA$16)*'Input Assumptions'!$D$19</f>
        <v>1246532.0955411245</v>
      </c>
    </row>
    <row r="5" spans="1:4" ht="15.75">
      <c r="A5" s="495"/>
      <c r="B5" s="545" t="s">
        <v>344</v>
      </c>
      <c r="C5" s="584">
        <f>C3-C4</f>
        <v>2742060.078227808</v>
      </c>
      <c r="D5" s="585">
        <f>D3-D4</f>
        <v>2511549.7300625565</v>
      </c>
    </row>
    <row r="6" spans="1:4" ht="15.75">
      <c r="A6" s="495"/>
      <c r="B6" s="547" t="s">
        <v>345</v>
      </c>
      <c r="C6" s="616">
        <f>SUM('Cash Flow'!G5:U5)/1000</f>
        <v>52451.65554051968</v>
      </c>
      <c r="D6" s="617">
        <f>SUM('Cash Flow'!G5:U5)/1000</f>
        <v>52451.65554051968</v>
      </c>
    </row>
    <row r="7" spans="1:4" ht="16.5" thickBot="1">
      <c r="A7" s="496"/>
      <c r="B7" s="548" t="s">
        <v>356</v>
      </c>
      <c r="C7" s="550">
        <f>C5/C6</f>
        <v>52.27785567434618</v>
      </c>
      <c r="D7" s="549">
        <f>D5/D6</f>
        <v>47.8831355117542</v>
      </c>
    </row>
    <row r="8" spans="1:4" ht="15.75">
      <c r="A8" s="496"/>
      <c r="B8" s="502"/>
      <c r="C8" s="500"/>
      <c r="D8" s="500"/>
    </row>
    <row r="9" spans="2:5" ht="17.25" customHeight="1">
      <c r="B9" s="502"/>
      <c r="C9" s="518"/>
      <c r="D9" s="518"/>
      <c r="E9" s="499"/>
    </row>
    <row r="10" spans="2:12" ht="17.25" customHeight="1" thickBot="1">
      <c r="B10" s="14"/>
      <c r="C10" s="534"/>
      <c r="D10" s="14"/>
      <c r="E10" s="499"/>
      <c r="F10" s="636" t="s">
        <v>378</v>
      </c>
      <c r="G10" s="636"/>
      <c r="H10" s="636"/>
      <c r="J10" s="636" t="s">
        <v>328</v>
      </c>
      <c r="K10" s="636"/>
      <c r="L10" s="636"/>
    </row>
    <row r="11" spans="2:12" ht="31.5" customHeight="1" thickBot="1">
      <c r="B11" s="563" t="s">
        <v>351</v>
      </c>
      <c r="C11" s="564" t="s">
        <v>379</v>
      </c>
      <c r="D11" s="565" t="s">
        <v>352</v>
      </c>
      <c r="E11" s="566"/>
      <c r="F11" s="567" t="s">
        <v>353</v>
      </c>
      <c r="G11" s="568" t="s">
        <v>380</v>
      </c>
      <c r="H11" s="569" t="s">
        <v>381</v>
      </c>
      <c r="I11" s="570"/>
      <c r="J11" s="571" t="s">
        <v>326</v>
      </c>
      <c r="K11" s="564" t="s">
        <v>382</v>
      </c>
      <c r="L11" s="565" t="s">
        <v>354</v>
      </c>
    </row>
    <row r="12" spans="2:13" ht="15.75" customHeight="1">
      <c r="B12" s="536" t="s">
        <v>372</v>
      </c>
      <c r="C12" s="535">
        <f>$C$17+G12</f>
        <v>96.12077402868118</v>
      </c>
      <c r="D12" s="537">
        <f>$D$17+H12</f>
        <v>91.89253516816693</v>
      </c>
      <c r="F12" s="542" t="s">
        <v>372</v>
      </c>
      <c r="G12" s="543">
        <f>K12-$K$17</f>
        <v>43.842918354335005</v>
      </c>
      <c r="H12" s="544">
        <f>L12-$L$17</f>
        <v>44.00939965641273</v>
      </c>
      <c r="J12" s="533" t="s">
        <v>329</v>
      </c>
      <c r="K12" s="631">
        <v>96.12077402868118</v>
      </c>
      <c r="L12" s="632">
        <v>91.89253516816693</v>
      </c>
      <c r="M12" s="524"/>
    </row>
    <row r="13" spans="2:13" ht="15">
      <c r="B13" s="536" t="s">
        <v>367</v>
      </c>
      <c r="C13" s="507">
        <f>$C$17+G13</f>
        <v>87.06955835777057</v>
      </c>
      <c r="D13" s="508">
        <f>$D$17+H13</f>
        <v>82.8197156912779</v>
      </c>
      <c r="F13" s="536" t="s">
        <v>367</v>
      </c>
      <c r="G13" s="516">
        <f>AVERAGE(K12:K13)-$K$17</f>
        <v>34.7917026834244</v>
      </c>
      <c r="H13" s="515">
        <f>AVERAGE(L12:L13)-$L$17</f>
        <v>34.93658017952371</v>
      </c>
      <c r="J13" s="533" t="s">
        <v>338</v>
      </c>
      <c r="K13" s="628">
        <v>78.01834268685995</v>
      </c>
      <c r="L13" s="629">
        <v>73.74689621438888</v>
      </c>
      <c r="M13" s="524"/>
    </row>
    <row r="14" spans="2:13" ht="15">
      <c r="B14" s="505" t="s">
        <v>368</v>
      </c>
      <c r="C14" s="507">
        <f>$C$17+G14</f>
        <v>70.95080231240742</v>
      </c>
      <c r="D14" s="508">
        <f>$D$17+H14</f>
        <v>66.64934638292236</v>
      </c>
      <c r="F14" s="505" t="s">
        <v>368</v>
      </c>
      <c r="G14" s="516">
        <f>AVERAGE(K13:K14)-$K$17</f>
        <v>18.67294663806124</v>
      </c>
      <c r="H14" s="515">
        <f>AVERAGE(L13:L14)-$L$17</f>
        <v>18.766210871168163</v>
      </c>
      <c r="J14" s="522" t="s">
        <v>330</v>
      </c>
      <c r="K14" s="628">
        <v>63.883261937954885</v>
      </c>
      <c r="L14" s="629">
        <v>59.55179655145583</v>
      </c>
      <c r="M14" s="524"/>
    </row>
    <row r="15" spans="2:13" ht="15">
      <c r="B15" s="527" t="s">
        <v>369</v>
      </c>
      <c r="C15" s="528">
        <f>$C$17+G15</f>
        <v>60.46514780878035</v>
      </c>
      <c r="D15" s="529">
        <f>$D$17+H15</f>
        <v>56.115331483434744</v>
      </c>
      <c r="F15" s="527" t="s">
        <v>369</v>
      </c>
      <c r="G15" s="516">
        <f>AVERAGE(K14:K15)-$K$17</f>
        <v>8.187292134434173</v>
      </c>
      <c r="H15" s="515">
        <f>AVERAGE(L14:L15)-$L$17</f>
        <v>8.232195971680547</v>
      </c>
      <c r="J15" s="522" t="s">
        <v>331</v>
      </c>
      <c r="K15" s="628">
        <v>57.04703367960582</v>
      </c>
      <c r="L15" s="629">
        <v>52.678866415413665</v>
      </c>
      <c r="M15" s="524"/>
    </row>
    <row r="16" spans="2:13" ht="15">
      <c r="B16" s="505" t="s">
        <v>370</v>
      </c>
      <c r="C16" s="507">
        <f>$C$17+G16</f>
        <v>55.46324688514913</v>
      </c>
      <c r="D16" s="508">
        <f>$D$17+H16</f>
        <v>51.085715945147825</v>
      </c>
      <c r="F16" s="505" t="s">
        <v>370</v>
      </c>
      <c r="G16" s="516">
        <f>AVERAGE(K15:K16)-$K$17</f>
        <v>3.1853912108029547</v>
      </c>
      <c r="H16" s="515">
        <f>AVERAGE(L15:L16)-$L$17</f>
        <v>3.202580433393628</v>
      </c>
      <c r="J16" s="522" t="s">
        <v>332</v>
      </c>
      <c r="K16" s="626">
        <v>53.879460090692454</v>
      </c>
      <c r="L16" s="625">
        <v>49.49256547488199</v>
      </c>
      <c r="M16" s="524"/>
    </row>
    <row r="17" spans="2:12" ht="15.75" thickBot="1">
      <c r="B17" s="548" t="s">
        <v>371</v>
      </c>
      <c r="C17" s="506">
        <f>$C$7</f>
        <v>52.27785567434618</v>
      </c>
      <c r="D17" s="503">
        <f>$D$7</f>
        <v>47.8831355117542</v>
      </c>
      <c r="F17" s="548" t="s">
        <v>371</v>
      </c>
      <c r="G17" s="517">
        <v>0</v>
      </c>
      <c r="H17" s="504">
        <v>0</v>
      </c>
      <c r="J17" s="523" t="s">
        <v>333</v>
      </c>
      <c r="K17" s="630">
        <v>52.27785567434618</v>
      </c>
      <c r="L17" s="627">
        <v>47.8831355117542</v>
      </c>
    </row>
    <row r="18" ht="15">
      <c r="D18" s="499"/>
    </row>
    <row r="19" spans="3:4" ht="15">
      <c r="C19" s="525"/>
      <c r="D19" s="525"/>
    </row>
    <row r="20" spans="3:4" ht="15">
      <c r="C20" s="525"/>
      <c r="D20" s="525"/>
    </row>
    <row r="21" spans="2:12" ht="19.5" thickBot="1">
      <c r="B21" s="636" t="s">
        <v>374</v>
      </c>
      <c r="C21" s="636"/>
      <c r="D21" s="636"/>
      <c r="F21" s="636" t="s">
        <v>386</v>
      </c>
      <c r="G21" s="636"/>
      <c r="H21" s="636"/>
      <c r="J21" s="636" t="s">
        <v>387</v>
      </c>
      <c r="K21" s="636"/>
      <c r="L21" s="636"/>
    </row>
    <row r="22" spans="2:12" ht="30.75" thickBot="1">
      <c r="B22" s="591" t="s">
        <v>375</v>
      </c>
      <c r="C22" s="592" t="s">
        <v>392</v>
      </c>
      <c r="D22" s="593" t="s">
        <v>376</v>
      </c>
      <c r="F22" s="591" t="s">
        <v>351</v>
      </c>
      <c r="G22" s="592" t="s">
        <v>379</v>
      </c>
      <c r="H22" s="593" t="s">
        <v>352</v>
      </c>
      <c r="J22" s="591" t="s">
        <v>351</v>
      </c>
      <c r="K22" s="592" t="s">
        <v>379</v>
      </c>
      <c r="L22" s="593" t="s">
        <v>352</v>
      </c>
    </row>
    <row r="23" spans="2:12" ht="15">
      <c r="B23" s="586" t="s">
        <v>389</v>
      </c>
      <c r="C23" s="587">
        <v>0</v>
      </c>
      <c r="D23" s="588">
        <v>0</v>
      </c>
      <c r="F23" s="536" t="s">
        <v>372</v>
      </c>
      <c r="G23" s="589">
        <f aca="true" t="shared" si="0" ref="G23:G28">C12+$C$23</f>
        <v>96.12077402868118</v>
      </c>
      <c r="H23" s="590">
        <f aca="true" t="shared" si="1" ref="H23:H28">$D$23+D12</f>
        <v>91.89253516816693</v>
      </c>
      <c r="J23" s="536" t="s">
        <v>372</v>
      </c>
      <c r="K23" s="589">
        <f aca="true" t="shared" si="2" ref="K23:K28">C12+$C$24</f>
        <v>107.29077402868118</v>
      </c>
      <c r="L23" s="590">
        <f aca="true" t="shared" si="3" ref="L23:L28">D12+$D$24</f>
        <v>102.77253516816693</v>
      </c>
    </row>
    <row r="24" spans="2:12" ht="15">
      <c r="B24" s="505" t="s">
        <v>390</v>
      </c>
      <c r="C24" s="507">
        <v>11.17</v>
      </c>
      <c r="D24" s="508">
        <v>10.88</v>
      </c>
      <c r="F24" s="536" t="s">
        <v>367</v>
      </c>
      <c r="G24" s="516">
        <f t="shared" si="0"/>
        <v>87.06955835777057</v>
      </c>
      <c r="H24" s="515">
        <f t="shared" si="1"/>
        <v>82.8197156912779</v>
      </c>
      <c r="J24" s="536" t="s">
        <v>367</v>
      </c>
      <c r="K24" s="516">
        <f t="shared" si="2"/>
        <v>98.23955835777058</v>
      </c>
      <c r="L24" s="515">
        <f t="shared" si="3"/>
        <v>93.6997156912779</v>
      </c>
    </row>
    <row r="25" spans="2:12" ht="15">
      <c r="B25" s="505" t="s">
        <v>391</v>
      </c>
      <c r="C25" s="507">
        <v>22.34</v>
      </c>
      <c r="D25" s="508">
        <v>21.77</v>
      </c>
      <c r="F25" s="505" t="s">
        <v>368</v>
      </c>
      <c r="G25" s="516">
        <f t="shared" si="0"/>
        <v>70.95080231240742</v>
      </c>
      <c r="H25" s="515">
        <f t="shared" si="1"/>
        <v>66.64934638292236</v>
      </c>
      <c r="J25" s="505" t="s">
        <v>368</v>
      </c>
      <c r="K25" s="516">
        <f t="shared" si="2"/>
        <v>82.12080231240742</v>
      </c>
      <c r="L25" s="515">
        <f t="shared" si="3"/>
        <v>77.52934638292236</v>
      </c>
    </row>
    <row r="26" spans="2:12" ht="15.75" thickBot="1">
      <c r="B26" s="548" t="s">
        <v>377</v>
      </c>
      <c r="C26" s="550">
        <v>33.51</v>
      </c>
      <c r="D26" s="549">
        <v>32.65</v>
      </c>
      <c r="F26" s="527" t="s">
        <v>369</v>
      </c>
      <c r="G26" s="594">
        <f t="shared" si="0"/>
        <v>60.46514780878035</v>
      </c>
      <c r="H26" s="532">
        <f t="shared" si="1"/>
        <v>56.115331483434744</v>
      </c>
      <c r="J26" s="527" t="s">
        <v>369</v>
      </c>
      <c r="K26" s="594">
        <f t="shared" si="2"/>
        <v>71.63514780878035</v>
      </c>
      <c r="L26" s="532">
        <f t="shared" si="3"/>
        <v>66.99533148343474</v>
      </c>
    </row>
    <row r="27" spans="6:12" ht="15">
      <c r="F27" s="505" t="s">
        <v>370</v>
      </c>
      <c r="G27" s="516">
        <f t="shared" si="0"/>
        <v>55.46324688514913</v>
      </c>
      <c r="H27" s="515">
        <f t="shared" si="1"/>
        <v>51.085715945147825</v>
      </c>
      <c r="J27" s="505" t="s">
        <v>370</v>
      </c>
      <c r="K27" s="516">
        <f t="shared" si="2"/>
        <v>66.63324688514913</v>
      </c>
      <c r="L27" s="515">
        <f t="shared" si="3"/>
        <v>61.96571594514783</v>
      </c>
    </row>
    <row r="28" spans="6:12" ht="15.75" thickBot="1">
      <c r="F28" s="548" t="s">
        <v>371</v>
      </c>
      <c r="G28" s="517">
        <f t="shared" si="0"/>
        <v>52.27785567434618</v>
      </c>
      <c r="H28" s="504">
        <f t="shared" si="1"/>
        <v>47.8831355117542</v>
      </c>
      <c r="J28" s="548" t="s">
        <v>371</v>
      </c>
      <c r="K28" s="517">
        <f t="shared" si="2"/>
        <v>63.44785567434618</v>
      </c>
      <c r="L28" s="504">
        <f t="shared" si="3"/>
        <v>58.7631355117542</v>
      </c>
    </row>
    <row r="29" spans="6:11" ht="15">
      <c r="F29" s="518"/>
      <c r="G29" s="518"/>
      <c r="J29" s="518"/>
      <c r="K29" s="518"/>
    </row>
    <row r="30" spans="6:7" ht="15">
      <c r="F30" s="14"/>
      <c r="G30" s="14"/>
    </row>
    <row r="31" spans="6:12" ht="19.5" thickBot="1">
      <c r="F31" s="636" t="s">
        <v>388</v>
      </c>
      <c r="G31" s="636"/>
      <c r="H31" s="636"/>
      <c r="I31" s="559"/>
      <c r="J31" s="636" t="s">
        <v>373</v>
      </c>
      <c r="K31" s="636"/>
      <c r="L31" s="636"/>
    </row>
    <row r="32" spans="6:12" ht="30.75" thickBot="1">
      <c r="F32" s="591" t="s">
        <v>351</v>
      </c>
      <c r="G32" s="592" t="s">
        <v>379</v>
      </c>
      <c r="H32" s="593" t="s">
        <v>352</v>
      </c>
      <c r="J32" s="591" t="s">
        <v>351</v>
      </c>
      <c r="K32" s="592" t="s">
        <v>379</v>
      </c>
      <c r="L32" s="593" t="s">
        <v>352</v>
      </c>
    </row>
    <row r="33" spans="6:12" ht="15">
      <c r="F33" s="536" t="s">
        <v>372</v>
      </c>
      <c r="G33" s="589">
        <f aca="true" t="shared" si="4" ref="G33:G38">C12+$C$25</f>
        <v>118.46077402868119</v>
      </c>
      <c r="H33" s="590">
        <f aca="true" t="shared" si="5" ref="H33:H38">D12+$D$25</f>
        <v>113.66253516816693</v>
      </c>
      <c r="J33" s="542" t="s">
        <v>372</v>
      </c>
      <c r="K33" s="543">
        <f aca="true" t="shared" si="6" ref="K33:K38">C12+$C$26</f>
        <v>129.63077402868117</v>
      </c>
      <c r="L33" s="544">
        <f aca="true" t="shared" si="7" ref="L33:L38">D12+$D$26</f>
        <v>124.54253516816692</v>
      </c>
    </row>
    <row r="34" spans="6:12" ht="15">
      <c r="F34" s="536" t="s">
        <v>367</v>
      </c>
      <c r="G34" s="516">
        <f t="shared" si="4"/>
        <v>109.40955835777058</v>
      </c>
      <c r="H34" s="515">
        <f t="shared" si="5"/>
        <v>104.5897156912779</v>
      </c>
      <c r="I34" s="14"/>
      <c r="J34" s="536" t="s">
        <v>367</v>
      </c>
      <c r="K34" s="589">
        <f t="shared" si="6"/>
        <v>120.57955835777057</v>
      </c>
      <c r="L34" s="590">
        <f t="shared" si="7"/>
        <v>115.46971569127791</v>
      </c>
    </row>
    <row r="35" spans="1:13" ht="15">
      <c r="A35" s="14"/>
      <c r="F35" s="505" t="s">
        <v>368</v>
      </c>
      <c r="G35" s="516">
        <f t="shared" si="4"/>
        <v>93.29080231240742</v>
      </c>
      <c r="H35" s="515">
        <f t="shared" si="5"/>
        <v>88.41934638292236</v>
      </c>
      <c r="I35" s="502"/>
      <c r="J35" s="505" t="s">
        <v>368</v>
      </c>
      <c r="K35" s="589">
        <f t="shared" si="6"/>
        <v>104.46080231240742</v>
      </c>
      <c r="L35" s="590">
        <f t="shared" si="7"/>
        <v>99.29934638292235</v>
      </c>
      <c r="M35" s="14"/>
    </row>
    <row r="36" spans="1:13" ht="15">
      <c r="A36" s="14"/>
      <c r="E36" s="14"/>
      <c r="F36" s="527" t="s">
        <v>369</v>
      </c>
      <c r="G36" s="594">
        <f t="shared" si="4"/>
        <v>82.80514780878035</v>
      </c>
      <c r="H36" s="532">
        <f t="shared" si="5"/>
        <v>77.88533148343474</v>
      </c>
      <c r="I36" s="502"/>
      <c r="J36" s="527" t="s">
        <v>369</v>
      </c>
      <c r="K36" s="589">
        <f t="shared" si="6"/>
        <v>93.97514780878035</v>
      </c>
      <c r="L36" s="590">
        <f t="shared" si="7"/>
        <v>88.76533148343475</v>
      </c>
      <c r="M36" s="14"/>
    </row>
    <row r="37" spans="1:13" ht="15">
      <c r="A37" s="14"/>
      <c r="E37" s="14"/>
      <c r="F37" s="505" t="s">
        <v>370</v>
      </c>
      <c r="G37" s="516">
        <f t="shared" si="4"/>
        <v>77.80324688514914</v>
      </c>
      <c r="H37" s="515">
        <f t="shared" si="5"/>
        <v>72.85571594514782</v>
      </c>
      <c r="I37" s="502"/>
      <c r="J37" s="505" t="s">
        <v>370</v>
      </c>
      <c r="K37" s="589">
        <f t="shared" si="6"/>
        <v>88.97324688514914</v>
      </c>
      <c r="L37" s="590">
        <f t="shared" si="7"/>
        <v>83.73571594514783</v>
      </c>
      <c r="M37" s="14"/>
    </row>
    <row r="38" spans="1:13" ht="15.75" thickBot="1">
      <c r="A38" s="14"/>
      <c r="B38" s="502"/>
      <c r="C38" s="526"/>
      <c r="D38" s="526"/>
      <c r="E38" s="14"/>
      <c r="F38" s="548" t="s">
        <v>371</v>
      </c>
      <c r="G38" s="517">
        <f t="shared" si="4"/>
        <v>74.61785567434617</v>
      </c>
      <c r="H38" s="504">
        <f t="shared" si="5"/>
        <v>69.6531355117542</v>
      </c>
      <c r="I38" s="502"/>
      <c r="J38" s="548" t="s">
        <v>371</v>
      </c>
      <c r="K38" s="634">
        <f t="shared" si="6"/>
        <v>85.78785567434618</v>
      </c>
      <c r="L38" s="635">
        <f t="shared" si="7"/>
        <v>80.5331355117542</v>
      </c>
      <c r="M38" s="14"/>
    </row>
    <row r="39" spans="1:13" ht="15">
      <c r="A39" s="14"/>
      <c r="B39" s="502"/>
      <c r="C39" s="526"/>
      <c r="D39" s="526"/>
      <c r="E39" s="14"/>
      <c r="F39" s="14"/>
      <c r="G39" s="14"/>
      <c r="H39" s="14"/>
      <c r="I39" s="502"/>
      <c r="J39" s="526"/>
      <c r="K39" s="526"/>
      <c r="L39" s="14"/>
      <c r="M39" s="14"/>
    </row>
    <row r="40" spans="1:13" ht="15">
      <c r="A40" s="14"/>
      <c r="B40" s="502"/>
      <c r="C40" s="526"/>
      <c r="D40" s="526"/>
      <c r="E40" s="14"/>
      <c r="F40" s="14"/>
      <c r="G40" s="14"/>
      <c r="H40" s="14"/>
      <c r="I40" s="14"/>
      <c r="J40" s="526"/>
      <c r="K40" s="526"/>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J46" s="14"/>
      <c r="K46" s="14"/>
      <c r="M46" s="14"/>
    </row>
    <row r="47" spans="5:8" ht="15">
      <c r="E47" s="14"/>
      <c r="F47" s="14"/>
      <c r="G47" s="14"/>
      <c r="H47" s="14"/>
    </row>
  </sheetData>
  <sheetProtection/>
  <mergeCells count="7">
    <mergeCell ref="F31:H31"/>
    <mergeCell ref="J31:L31"/>
    <mergeCell ref="B21:D21"/>
    <mergeCell ref="F10:H10"/>
    <mergeCell ref="J10:L10"/>
    <mergeCell ref="F21:H21"/>
    <mergeCell ref="J21:L21"/>
  </mergeCells>
  <printOptions/>
  <pageMargins left="0.7" right="0.7" top="0.75" bottom="0.75" header="0.3" footer="0.3"/>
  <pageSetup fitToHeight="1" fitToWidth="1" horizontalDpi="600" verticalDpi="600" orientation="landscape" scale="60" r:id="rId3"/>
  <headerFooter>
    <oddHeader>&amp;L&amp;F
Worksheet: &amp;A
&amp;D</oddHeader>
    <oddFooter>&amp;C&amp;P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4"/>
  <sheetViews>
    <sheetView showGridLines="0" zoomScale="80" zoomScaleNormal="80" zoomScalePageLayoutView="0" workbookViewId="0" topLeftCell="A1">
      <selection activeCell="F12" sqref="F12"/>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39"/>
      <c r="C2" s="647" t="s">
        <v>197</v>
      </c>
      <c r="D2" s="647"/>
      <c r="E2" s="647"/>
      <c r="F2" s="647"/>
      <c r="G2" s="647"/>
      <c r="H2" s="647"/>
      <c r="I2" s="647"/>
      <c r="J2" s="647"/>
      <c r="K2" s="647"/>
      <c r="L2" s="647"/>
      <c r="M2" s="647"/>
      <c r="N2" s="647"/>
      <c r="O2" s="647"/>
      <c r="P2" s="647"/>
      <c r="Q2" s="647"/>
      <c r="R2" s="647"/>
      <c r="S2" s="647"/>
      <c r="T2" s="647"/>
      <c r="U2" s="213"/>
      <c r="V2" s="214"/>
      <c r="W2" s="214"/>
      <c r="X2" s="214"/>
      <c r="Y2" s="214"/>
      <c r="Z2" s="214"/>
      <c r="AA2" s="214"/>
      <c r="AB2" s="215"/>
    </row>
    <row r="3" spans="2:28" ht="18.75" customHeight="1">
      <c r="B3" s="280"/>
      <c r="C3" s="158"/>
      <c r="D3" s="158"/>
      <c r="E3" s="158"/>
      <c r="F3" s="158"/>
      <c r="G3" s="158"/>
      <c r="H3" s="158"/>
      <c r="I3" s="158"/>
      <c r="J3" s="459"/>
      <c r="K3" s="457"/>
      <c r="L3" s="438"/>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8"/>
      <c r="L4" s="188"/>
      <c r="M4" s="279" t="s">
        <v>20</v>
      </c>
      <c r="N4" s="17"/>
      <c r="O4" s="646" t="s">
        <v>14</v>
      </c>
      <c r="P4" s="646"/>
      <c r="Q4" s="290"/>
      <c r="R4" s="196"/>
      <c r="S4" s="291" t="s">
        <v>19</v>
      </c>
      <c r="T4" s="274"/>
      <c r="U4" s="16"/>
      <c r="AB4" s="147"/>
    </row>
    <row r="5" spans="2:28"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row>
    <row r="6" spans="2:28" ht="18.75" thickBot="1">
      <c r="B6" s="11"/>
      <c r="E6" s="23"/>
      <c r="F6" s="18"/>
      <c r="G6" s="22"/>
      <c r="H6" s="83"/>
      <c r="I6" s="19"/>
      <c r="J6" s="286"/>
      <c r="K6" s="17"/>
      <c r="L6" s="11"/>
      <c r="AB6" s="147"/>
    </row>
    <row r="7" spans="2:28" ht="16.5" thickBot="1">
      <c r="B7" s="11"/>
      <c r="E7" s="2" t="s">
        <v>16</v>
      </c>
      <c r="F7" s="232" t="s">
        <v>236</v>
      </c>
      <c r="G7" s="294" t="s">
        <v>265</v>
      </c>
      <c r="H7" s="65"/>
      <c r="I7" s="19"/>
      <c r="J7" s="287"/>
      <c r="K7" s="17"/>
      <c r="L7" s="11"/>
      <c r="O7" s="2" t="s">
        <v>288</v>
      </c>
      <c r="P7" s="232" t="s">
        <v>236</v>
      </c>
      <c r="Q7" s="294" t="s">
        <v>265</v>
      </c>
      <c r="AB7" s="147"/>
    </row>
    <row r="8" spans="2:28" ht="15.75">
      <c r="B8" s="11"/>
      <c r="E8" s="312" t="s">
        <v>29</v>
      </c>
      <c r="F8" s="7" t="s">
        <v>334</v>
      </c>
      <c r="G8" s="314">
        <f>'Input Assumptions'!D4</f>
        <v>2666.6666666666665</v>
      </c>
      <c r="H8" s="161"/>
      <c r="I8" s="13" t="s">
        <v>8</v>
      </c>
      <c r="J8" s="288"/>
      <c r="K8" s="17"/>
      <c r="L8" s="11"/>
      <c r="M8" s="255"/>
      <c r="N8" s="1">
        <f>IF(OR(Q8&lt;=0,Q8&gt;G15),1,0)</f>
        <v>0</v>
      </c>
      <c r="O8" s="312" t="s">
        <v>296</v>
      </c>
      <c r="P8" s="313" t="s">
        <v>4</v>
      </c>
      <c r="Q8" s="348">
        <v>15</v>
      </c>
      <c r="R8" s="164"/>
      <c r="S8" s="13" t="s">
        <v>8</v>
      </c>
      <c r="T8" s="227"/>
      <c r="AB8" s="147"/>
    </row>
    <row r="9" spans="2:28" ht="15.75">
      <c r="B9" s="11"/>
      <c r="C9" s="253"/>
      <c r="E9" s="464" t="s">
        <v>358</v>
      </c>
      <c r="F9" s="453"/>
      <c r="G9" s="465" t="s">
        <v>291</v>
      </c>
      <c r="I9" s="13" t="s">
        <v>8</v>
      </c>
      <c r="J9" s="147"/>
      <c r="K9" s="17"/>
      <c r="L9" s="11"/>
      <c r="M9" s="203"/>
      <c r="O9" s="315" t="s">
        <v>167</v>
      </c>
      <c r="P9" s="7" t="s">
        <v>1</v>
      </c>
      <c r="Q9" s="316">
        <v>0.01</v>
      </c>
      <c r="R9" s="162"/>
      <c r="S9" s="13" t="s">
        <v>8</v>
      </c>
      <c r="T9" s="227"/>
      <c r="AB9" s="147"/>
    </row>
    <row r="10" spans="2:28" ht="16.5" thickBot="1">
      <c r="B10" s="11"/>
      <c r="C10" s="456"/>
      <c r="E10" s="464" t="s">
        <v>359</v>
      </c>
      <c r="F10" s="454"/>
      <c r="G10" s="465" t="s">
        <v>292</v>
      </c>
      <c r="I10" s="13" t="s">
        <v>8</v>
      </c>
      <c r="J10" s="147"/>
      <c r="K10" s="17"/>
      <c r="L10" s="11"/>
      <c r="M10" s="202"/>
      <c r="O10" s="378" t="s">
        <v>289</v>
      </c>
      <c r="P10" s="322" t="s">
        <v>1</v>
      </c>
      <c r="Q10" s="379">
        <v>0</v>
      </c>
      <c r="R10" s="162"/>
      <c r="S10" s="13" t="s">
        <v>8</v>
      </c>
      <c r="T10" s="227"/>
      <c r="U10" s="17"/>
      <c r="AB10" s="147"/>
    </row>
    <row r="11" spans="2:28" ht="16.5" thickBot="1">
      <c r="B11" s="11"/>
      <c r="C11" s="456"/>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row>
    <row r="12" spans="2:28" ht="16.5" thickBot="1">
      <c r="B12" s="11"/>
      <c r="C12" s="254"/>
      <c r="D12" s="1">
        <f>IF(OR(G12&lt;=0,G12&gt;1),1,0)</f>
        <v>0</v>
      </c>
      <c r="E12" s="318" t="s">
        <v>216</v>
      </c>
      <c r="F12" s="7" t="s">
        <v>393</v>
      </c>
      <c r="G12" s="316">
        <f>'Input Assumptions'!D6</f>
        <v>0.155</v>
      </c>
      <c r="H12" s="162"/>
      <c r="I12" s="13" t="s">
        <v>8</v>
      </c>
      <c r="J12" s="288"/>
      <c r="K12" s="17"/>
      <c r="L12" s="188"/>
      <c r="O12" s="2" t="s">
        <v>290</v>
      </c>
      <c r="P12" s="3"/>
      <c r="Q12" s="4"/>
      <c r="R12" s="17"/>
      <c r="S12" s="13" t="s">
        <v>8</v>
      </c>
      <c r="T12" s="87"/>
      <c r="U12" s="88"/>
      <c r="V12" s="88"/>
      <c r="W12" s="88"/>
      <c r="X12" s="88"/>
      <c r="Y12" s="88"/>
      <c r="Z12" s="88"/>
      <c r="AB12" s="147"/>
    </row>
    <row r="13" spans="2:28" ht="15.75">
      <c r="B13" s="11"/>
      <c r="C13" s="175"/>
      <c r="E13" s="318" t="s">
        <v>224</v>
      </c>
      <c r="F13" s="8" t="s">
        <v>2</v>
      </c>
      <c r="G13" s="319">
        <f>G8*G12*8760</f>
        <v>3620800</v>
      </c>
      <c r="H13" s="163"/>
      <c r="I13" s="13" t="s">
        <v>314</v>
      </c>
      <c r="J13" s="288"/>
      <c r="K13" s="17"/>
      <c r="L13" s="188"/>
      <c r="M13" s="253"/>
      <c r="O13" s="380" t="s">
        <v>207</v>
      </c>
      <c r="P13" s="381"/>
      <c r="Q13" s="382" t="s">
        <v>258</v>
      </c>
      <c r="S13" s="230" t="s">
        <v>8</v>
      </c>
      <c r="T13" s="231">
        <f>IF(Q8&lt;G15,1,0)</f>
        <v>1</v>
      </c>
      <c r="Y13" s="87"/>
      <c r="Z13" s="87"/>
      <c r="AB13" s="147"/>
    </row>
    <row r="14" spans="2:28" ht="15.75">
      <c r="B14" s="11"/>
      <c r="C14" s="253"/>
      <c r="D14" s="1">
        <f>IF(OR(G14&lt;0,G14&gt;1),1,0)</f>
        <v>0</v>
      </c>
      <c r="E14" s="320" t="s">
        <v>166</v>
      </c>
      <c r="F14" s="7" t="s">
        <v>1</v>
      </c>
      <c r="G14" s="316">
        <v>0.005</v>
      </c>
      <c r="H14" s="162"/>
      <c r="I14" s="13" t="s">
        <v>8</v>
      </c>
      <c r="J14" s="288"/>
      <c r="K14" s="17"/>
      <c r="L14" s="188"/>
      <c r="M14" s="253"/>
      <c r="N14" s="1">
        <f>IF(OR(Q14&lt;=0,Q14=""),1,0)</f>
        <v>0</v>
      </c>
      <c r="O14" s="383" t="s">
        <v>176</v>
      </c>
      <c r="P14" s="228" t="s">
        <v>50</v>
      </c>
      <c r="Q14" s="576">
        <f>AVERAGE('Net Metering Credit'!C9,'Net Metering Credit'!C13)*100*'Input Assumptions'!$D$19</f>
        <v>2.73104</v>
      </c>
      <c r="S14" s="230" t="s">
        <v>8</v>
      </c>
      <c r="T14" s="231">
        <f>IF(AND($Q$8&lt;$G$15,$Q$13="Year One"),1,0)</f>
        <v>1</v>
      </c>
      <c r="Y14" s="87"/>
      <c r="Z14" s="87"/>
      <c r="AB14" s="147"/>
    </row>
    <row r="15" spans="2:28" ht="16.5" thickBot="1">
      <c r="B15" s="11"/>
      <c r="C15" s="255"/>
      <c r="D15" s="1">
        <f>IF(OR(G15&lt;1,G15&gt;30),1,0)</f>
        <v>0</v>
      </c>
      <c r="E15" s="321" t="s">
        <v>175</v>
      </c>
      <c r="F15" s="322" t="s">
        <v>4</v>
      </c>
      <c r="G15" s="481">
        <v>25</v>
      </c>
      <c r="H15" s="164"/>
      <c r="I15" s="13" t="s">
        <v>8</v>
      </c>
      <c r="J15" s="288"/>
      <c r="K15" s="17"/>
      <c r="L15" s="188"/>
      <c r="M15" s="253"/>
      <c r="N15" s="1">
        <f>IF(OR(Q15&lt;=0,Q15=""),1,0)</f>
        <v>0</v>
      </c>
      <c r="O15" s="384" t="s">
        <v>177</v>
      </c>
      <c r="P15" s="229" t="s">
        <v>1</v>
      </c>
      <c r="Q15" s="385">
        <v>0.02</v>
      </c>
      <c r="S15" s="252" t="s">
        <v>8</v>
      </c>
      <c r="T15" s="231">
        <f>IF(AND($Q$8&lt;$G$15,$Q$13="Year One"),1,0)</f>
        <v>1</v>
      </c>
      <c r="Y15" s="87"/>
      <c r="Z15" s="87"/>
      <c r="AB15" s="147"/>
    </row>
    <row r="16" spans="2:28" ht="16.5" thickBot="1">
      <c r="B16" s="11"/>
      <c r="G16" s="19"/>
      <c r="H16" s="19"/>
      <c r="I16" s="15"/>
      <c r="J16" s="288"/>
      <c r="K16" s="17"/>
      <c r="L16" s="188"/>
      <c r="O16" s="386">
        <f>IF(OR($Q$13="Year One",$Q$8=$G$15),"","Click Here for Complex Input Worksheet")</f>
      </c>
      <c r="P16" s="387"/>
      <c r="Q16" s="388"/>
      <c r="S16" s="250" t="s">
        <v>8</v>
      </c>
      <c r="T16" s="231">
        <f>IF(AND($Q$8&lt;$G$15,$Q$13="Year-by-Year"),1,0)</f>
        <v>0</v>
      </c>
      <c r="U16" s="87"/>
      <c r="V16" s="87"/>
      <c r="W16" s="87"/>
      <c r="X16" s="87"/>
      <c r="Y16" s="87"/>
      <c r="Z16" s="87"/>
      <c r="AB16" s="147"/>
    </row>
    <row r="17" spans="2:28" ht="16.5" thickBot="1">
      <c r="B17" s="11"/>
      <c r="E17" s="9" t="s">
        <v>145</v>
      </c>
      <c r="F17" s="232" t="s">
        <v>236</v>
      </c>
      <c r="G17" s="294" t="s">
        <v>265</v>
      </c>
      <c r="H17" s="173"/>
      <c r="I17" s="15"/>
      <c r="J17" s="288"/>
      <c r="K17" s="17"/>
      <c r="L17" s="188"/>
      <c r="T17" s="89"/>
      <c r="U17" s="87"/>
      <c r="V17" s="87"/>
      <c r="W17" s="87"/>
      <c r="X17" s="87"/>
      <c r="Y17" s="87"/>
      <c r="Z17" s="87"/>
      <c r="AB17" s="147"/>
    </row>
    <row r="18" spans="2:28"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row>
    <row r="19" spans="2:28" ht="15.75">
      <c r="B19" s="11"/>
      <c r="C19" s="205"/>
      <c r="E19" s="449" t="s">
        <v>123</v>
      </c>
      <c r="F19" s="450" t="str">
        <f>IF($G$5="Photovoltaic","$/Watt dc","$/Watt ac")</f>
        <v>$/Watt dc</v>
      </c>
      <c r="G19" s="451">
        <v>2.03</v>
      </c>
      <c r="H19" s="165"/>
      <c r="I19" s="250" t="s">
        <v>8</v>
      </c>
      <c r="J19" s="289"/>
      <c r="K19" s="17"/>
      <c r="L19" s="188"/>
      <c r="M19" s="258"/>
      <c r="O19" s="440" t="s">
        <v>304</v>
      </c>
      <c r="P19" s="441"/>
      <c r="Q19" s="442" t="s">
        <v>312</v>
      </c>
      <c r="R19" s="231">
        <f>IF(OR(Q19="Performance-Based",Q19="Neither"),1,IF(OR(Q19="Cost-Based",Q19="Neither"),2,0))</f>
        <v>2</v>
      </c>
      <c r="S19" s="13" t="s">
        <v>8</v>
      </c>
      <c r="T19" s="17"/>
      <c r="Z19" s="17"/>
      <c r="AA19" s="17"/>
      <c r="AB19" s="458"/>
    </row>
    <row r="20" spans="2:28" ht="15.75">
      <c r="B20" s="11"/>
      <c r="C20" s="206"/>
      <c r="E20" s="326" t="s">
        <v>146</v>
      </c>
      <c r="F20" s="228" t="s">
        <v>0</v>
      </c>
      <c r="G20" s="327">
        <f>('Input Assumptions'!H4*(1-('Input Assumptions'!$H$10*('Input Assumptions'!$H$12-'Input Assumptions'!$H$11))))</f>
        <v>2228656.1479162793</v>
      </c>
      <c r="H20" s="166"/>
      <c r="I20" s="250" t="s">
        <v>8</v>
      </c>
      <c r="J20" s="288"/>
      <c r="K20" s="17"/>
      <c r="L20" s="188"/>
      <c r="M20" s="258"/>
      <c r="O20" s="320" t="s">
        <v>249</v>
      </c>
      <c r="P20" s="7"/>
      <c r="Q20" s="466" t="s">
        <v>313</v>
      </c>
      <c r="R20" s="17"/>
      <c r="S20" s="13" t="s">
        <v>8</v>
      </c>
      <c r="T20" s="17"/>
      <c r="Z20" s="17"/>
      <c r="AA20" s="17"/>
      <c r="AB20" s="458"/>
    </row>
    <row r="21" spans="2:28" ht="15.75">
      <c r="B21" s="11"/>
      <c r="C21" s="260"/>
      <c r="E21" s="326" t="s">
        <v>147</v>
      </c>
      <c r="F21" s="228" t="s">
        <v>0</v>
      </c>
      <c r="G21" s="327">
        <f>('Input Assumptions'!H5*(1-('Input Assumptions'!$H$10*('Input Assumptions'!$H$12-'Input Assumptions'!$H$11))))</f>
        <v>1008911.0833662653</v>
      </c>
      <c r="H21" s="166"/>
      <c r="I21" s="250" t="s">
        <v>8</v>
      </c>
      <c r="J21" s="288"/>
      <c r="K21" s="17"/>
      <c r="L21" s="188"/>
      <c r="M21" s="258"/>
      <c r="N21" s="1">
        <f>IF(OR(Q21&lt;0,Q21&gt;1,Q21=""),1,0)</f>
        <v>0</v>
      </c>
      <c r="O21" s="317" t="s">
        <v>182</v>
      </c>
      <c r="P21" s="6" t="s">
        <v>1</v>
      </c>
      <c r="Q21" s="390">
        <v>0.3</v>
      </c>
      <c r="R21" s="17"/>
      <c r="S21" s="13" t="s">
        <v>8</v>
      </c>
      <c r="T21" s="17"/>
      <c r="Z21" s="17"/>
      <c r="AA21" s="17"/>
      <c r="AB21" s="476"/>
    </row>
    <row r="22" spans="2:28" ht="15.75">
      <c r="B22" s="11"/>
      <c r="C22" s="260"/>
      <c r="E22" s="328" t="s">
        <v>148</v>
      </c>
      <c r="F22" s="228" t="s">
        <v>0</v>
      </c>
      <c r="G22" s="327">
        <f>'Input Assumptions'!H6</f>
        <v>279044.61779311934</v>
      </c>
      <c r="H22" s="166"/>
      <c r="I22" s="250" t="s">
        <v>8</v>
      </c>
      <c r="J22" s="288"/>
      <c r="K22" s="17"/>
      <c r="L22" s="11"/>
      <c r="N22" s="472">
        <f>IF(OR(Q22&lt;0,Q22&gt;1,Q22=""),1,0)</f>
        <v>0</v>
      </c>
      <c r="O22" s="317" t="s">
        <v>18</v>
      </c>
      <c r="P22" s="6" t="s">
        <v>1</v>
      </c>
      <c r="Q22" s="390">
        <v>1</v>
      </c>
      <c r="R22" s="473">
        <f>IF(AND($Q$19="Cost-Based",$Q$20="ITC"),1,0)</f>
        <v>1</v>
      </c>
      <c r="AB22" s="147"/>
    </row>
    <row r="23" spans="2:28" ht="16.5" thickBot="1">
      <c r="B23" s="11"/>
      <c r="C23" s="260"/>
      <c r="E23" s="328" t="s">
        <v>149</v>
      </c>
      <c r="F23" s="228" t="s">
        <v>0</v>
      </c>
      <c r="G23" s="327">
        <f>('Input Assumptions'!H7*(1-('Input Assumptions'!$H$10*('Input Assumptions'!$H$12-'Input Assumptions'!$H$11))))</f>
        <v>973324.6211829972</v>
      </c>
      <c r="H23" s="166"/>
      <c r="I23" s="250" t="s">
        <v>8</v>
      </c>
      <c r="J23" s="288"/>
      <c r="K23" s="17"/>
      <c r="L23" s="188"/>
      <c r="O23" s="321" t="s">
        <v>121</v>
      </c>
      <c r="P23" s="367" t="s">
        <v>0</v>
      </c>
      <c r="Q23" s="391">
        <f>IF($G$73="Yes",IF($Q$20="ITC",IF($G$18="Complex",0,'Cash Flow'!$C$99)*'CREST Inputs'!$Q$21*'CREST Inputs'!$Q$22,IF($Q$20="Cash Grant",IF($G$18="Complex",0,'Cash Flow'!$C$99)*'CREST Inputs'!$Q$21,0)),0)</f>
        <v>1026787.5421887476</v>
      </c>
      <c r="R23" s="85"/>
      <c r="S23" s="13" t="s">
        <v>8</v>
      </c>
      <c r="AB23" s="147"/>
    </row>
    <row r="24" spans="2:28" ht="15.75">
      <c r="B24" s="11"/>
      <c r="C24" s="207"/>
      <c r="E24" s="328" t="s">
        <v>85</v>
      </c>
      <c r="F24" s="228" t="s">
        <v>0</v>
      </c>
      <c r="G24" s="329">
        <f>($G$54*$G$51*SUM($G$20:$G$23)+$G$48+$G$64+$Q$63+$Q$66)</f>
        <v>250739.1573103129</v>
      </c>
      <c r="H24" s="167"/>
      <c r="I24" s="250" t="s">
        <v>8</v>
      </c>
      <c r="J24" s="288"/>
      <c r="K24" s="17"/>
      <c r="L24" s="188"/>
      <c r="M24" s="258"/>
      <c r="O24" s="344" t="s">
        <v>250</v>
      </c>
      <c r="P24" s="392"/>
      <c r="Q24" s="393" t="s">
        <v>248</v>
      </c>
      <c r="S24" s="13" t="s">
        <v>8</v>
      </c>
      <c r="AB24" s="147"/>
    </row>
    <row r="25" spans="2:28" ht="16.5" thickBot="1">
      <c r="B25" s="11"/>
      <c r="C25" s="207"/>
      <c r="E25" s="330" t="s">
        <v>252</v>
      </c>
      <c r="F25" s="331">
        <f>IF($G$18="Complex","$","")</f>
      </c>
      <c r="G25" s="332">
        <f>IF($G$18="Complex",0,"")</f>
      </c>
      <c r="H25" s="168"/>
      <c r="I25" s="250" t="s">
        <v>8</v>
      </c>
      <c r="J25" s="288"/>
      <c r="K25" s="17"/>
      <c r="L25" s="188"/>
      <c r="M25" s="253"/>
      <c r="O25" s="315" t="s">
        <v>124</v>
      </c>
      <c r="P25" s="93" t="s">
        <v>50</v>
      </c>
      <c r="Q25" s="394">
        <v>2.3</v>
      </c>
      <c r="R25" s="17"/>
      <c r="S25" s="13" t="s">
        <v>8</v>
      </c>
      <c r="AB25" s="147"/>
    </row>
    <row r="26" spans="2:28" ht="15.75">
      <c r="B26" s="11"/>
      <c r="C26" s="208"/>
      <c r="E26" s="333" t="s">
        <v>298</v>
      </c>
      <c r="F26" s="313" t="s">
        <v>0</v>
      </c>
      <c r="G26" s="334">
        <f>IF($G$18="Simple",($G$19*$G$8*1000),IF($G$18="Intermediate",SUM($G$20:$G$24),IF($G$18="Complex",$G$25,0)))</f>
        <v>4740675.627568973</v>
      </c>
      <c r="H26" s="168"/>
      <c r="I26" s="13" t="s">
        <v>8</v>
      </c>
      <c r="J26" s="288"/>
      <c r="K26" s="17"/>
      <c r="L26" s="11"/>
      <c r="N26" s="1">
        <f>IF(OR(Q26&lt;0,Q26&gt;1),1,0)</f>
        <v>0</v>
      </c>
      <c r="O26" s="315" t="s">
        <v>284</v>
      </c>
      <c r="P26" s="6" t="s">
        <v>1</v>
      </c>
      <c r="Q26" s="395">
        <v>1</v>
      </c>
      <c r="T26" s="17"/>
      <c r="AB26" s="147"/>
    </row>
    <row r="27" spans="2:28" ht="16.5" thickBot="1">
      <c r="B27" s="11"/>
      <c r="C27" s="208"/>
      <c r="E27" s="452" t="s">
        <v>298</v>
      </c>
      <c r="F27" s="336" t="str">
        <f>F19</f>
        <v>$/Watt dc</v>
      </c>
      <c r="G27" s="337">
        <f>G26/G8/1000</f>
        <v>1.777753360338365</v>
      </c>
      <c r="H27" s="174"/>
      <c r="I27" s="13" t="s">
        <v>8</v>
      </c>
      <c r="J27" s="288"/>
      <c r="K27" s="17"/>
      <c r="L27" s="188"/>
      <c r="M27" s="253"/>
      <c r="N27" s="1">
        <f>IF(OR(Q27&lt;0,Q27&gt;G15),1,0)</f>
        <v>0</v>
      </c>
      <c r="O27" s="315" t="s">
        <v>34</v>
      </c>
      <c r="P27" s="21" t="s">
        <v>33</v>
      </c>
      <c r="Q27" s="475">
        <v>10</v>
      </c>
      <c r="R27" s="17"/>
      <c r="S27" s="13" t="s">
        <v>8</v>
      </c>
      <c r="AB27" s="147"/>
    </row>
    <row r="28" spans="2:28" ht="16.5" thickBot="1">
      <c r="B28" s="11"/>
      <c r="C28" s="209"/>
      <c r="E28" s="20"/>
      <c r="F28" s="12"/>
      <c r="G28" s="12"/>
      <c r="I28" s="19"/>
      <c r="J28" s="288"/>
      <c r="K28" s="17"/>
      <c r="L28" s="188"/>
      <c r="M28" s="253"/>
      <c r="O28" s="315" t="s">
        <v>129</v>
      </c>
      <c r="P28" s="6" t="s">
        <v>1</v>
      </c>
      <c r="Q28" s="395">
        <v>0.02</v>
      </c>
      <c r="R28" s="17"/>
      <c r="S28" s="13" t="s">
        <v>8</v>
      </c>
      <c r="T28" s="17"/>
      <c r="AB28" s="147"/>
    </row>
    <row r="29" spans="2:28" ht="16.5" thickBot="1">
      <c r="B29" s="11"/>
      <c r="E29" s="5" t="s">
        <v>10</v>
      </c>
      <c r="F29" s="232" t="s">
        <v>236</v>
      </c>
      <c r="G29" s="294" t="s">
        <v>265</v>
      </c>
      <c r="H29" s="175"/>
      <c r="I29" s="19"/>
      <c r="J29" s="288"/>
      <c r="K29" s="17"/>
      <c r="L29" s="188"/>
      <c r="M29" s="253"/>
      <c r="O29" s="396" t="s">
        <v>307</v>
      </c>
      <c r="P29" s="397" t="s">
        <v>0</v>
      </c>
      <c r="Q29" s="398">
        <v>0</v>
      </c>
      <c r="R29" s="85"/>
      <c r="S29" s="13" t="s">
        <v>8</v>
      </c>
      <c r="T29" s="17" t="s">
        <v>314</v>
      </c>
      <c r="AB29" s="147"/>
    </row>
    <row r="30" spans="2:28" ht="16.5" thickBot="1">
      <c r="B30" s="11"/>
      <c r="C30" s="204"/>
      <c r="E30" s="483" t="s">
        <v>9</v>
      </c>
      <c r="F30" s="375"/>
      <c r="G30" s="482" t="s">
        <v>311</v>
      </c>
      <c r="H30" s="171"/>
      <c r="I30" s="13" t="s">
        <v>8</v>
      </c>
      <c r="J30" s="288"/>
      <c r="K30" s="17"/>
      <c r="L30" s="188"/>
      <c r="M30" s="258"/>
      <c r="O30" s="321" t="s">
        <v>198</v>
      </c>
      <c r="P30" s="322"/>
      <c r="Q30" s="373" t="s">
        <v>12</v>
      </c>
      <c r="R30" s="24"/>
      <c r="S30" s="13" t="s">
        <v>8</v>
      </c>
      <c r="T30" s="17"/>
      <c r="AB30" s="147"/>
    </row>
    <row r="31" spans="2:28" ht="16.5" thickBot="1">
      <c r="B31" s="11"/>
      <c r="C31" s="210"/>
      <c r="E31" s="312" t="s">
        <v>174</v>
      </c>
      <c r="F31" s="338" t="str">
        <f>IF($G$5=$O$5,"$/kW-yr dc",IF($G$5=$P$5,"$/kW-yr ac","error"))</f>
        <v>$/kW-yr dc</v>
      </c>
      <c r="G31" s="575">
        <v>10</v>
      </c>
      <c r="H31" s="176"/>
      <c r="I31" s="13" t="s">
        <v>8</v>
      </c>
      <c r="J31" s="288"/>
      <c r="K31" s="17"/>
      <c r="L31" s="11"/>
      <c r="AB31" s="147"/>
    </row>
    <row r="32" spans="2:28" ht="16.5" thickBot="1">
      <c r="B32" s="11"/>
      <c r="C32" s="253"/>
      <c r="E32" s="317" t="s">
        <v>86</v>
      </c>
      <c r="F32" s="6" t="s">
        <v>87</v>
      </c>
      <c r="G32" s="339">
        <v>0</v>
      </c>
      <c r="H32" s="177"/>
      <c r="I32" s="13" t="s">
        <v>8</v>
      </c>
      <c r="J32" s="288"/>
      <c r="K32" s="17"/>
      <c r="L32" s="188"/>
      <c r="O32" s="5" t="s">
        <v>303</v>
      </c>
      <c r="P32" s="232" t="s">
        <v>236</v>
      </c>
      <c r="Q32" s="294" t="s">
        <v>265</v>
      </c>
      <c r="R32" s="17"/>
      <c r="AB32" s="147"/>
    </row>
    <row r="33" spans="2:28" ht="15.75">
      <c r="B33" s="11"/>
      <c r="C33" s="211"/>
      <c r="D33" s="17"/>
      <c r="E33" s="340" t="s">
        <v>173</v>
      </c>
      <c r="F33" s="7" t="s">
        <v>1</v>
      </c>
      <c r="G33" s="539">
        <v>0.02</v>
      </c>
      <c r="H33" s="176"/>
      <c r="I33" s="13" t="s">
        <v>8</v>
      </c>
      <c r="J33" s="289"/>
      <c r="K33" s="17"/>
      <c r="L33" s="188"/>
      <c r="M33" s="258"/>
      <c r="O33" s="440" t="s">
        <v>305</v>
      </c>
      <c r="P33" s="441"/>
      <c r="Q33" s="442" t="s">
        <v>318</v>
      </c>
      <c r="S33" s="13" t="s">
        <v>8</v>
      </c>
      <c r="AB33" s="147"/>
    </row>
    <row r="34" spans="2:28" ht="15.75">
      <c r="B34" s="11"/>
      <c r="C34" s="203"/>
      <c r="E34" s="315" t="s">
        <v>171</v>
      </c>
      <c r="F34" s="7" t="s">
        <v>28</v>
      </c>
      <c r="G34" s="484">
        <v>10</v>
      </c>
      <c r="H34" s="176"/>
      <c r="I34" s="13" t="s">
        <v>8</v>
      </c>
      <c r="J34" s="289"/>
      <c r="K34" s="17"/>
      <c r="L34" s="188"/>
      <c r="M34" s="253"/>
      <c r="N34" s="1">
        <f>IF(OR(Q34&lt;0,Q34&gt;1),1,0)</f>
        <v>0</v>
      </c>
      <c r="O34" s="320" t="s">
        <v>169</v>
      </c>
      <c r="P34" s="7" t="s">
        <v>1</v>
      </c>
      <c r="Q34" s="399">
        <v>0.3</v>
      </c>
      <c r="R34" s="460">
        <f>IF(OR($Q$33="Performance-Based",$Q$33="Neither"),1,0)</f>
        <v>1</v>
      </c>
      <c r="S34" s="13" t="s">
        <v>8</v>
      </c>
      <c r="T34" s="17"/>
      <c r="AB34" s="147"/>
    </row>
    <row r="35" spans="2:28" ht="16.5" thickBot="1">
      <c r="B35" s="11"/>
      <c r="C35" s="211"/>
      <c r="D35" s="17"/>
      <c r="E35" s="343" t="s">
        <v>172</v>
      </c>
      <c r="F35" s="322" t="s">
        <v>1</v>
      </c>
      <c r="G35" s="485">
        <v>0.02</v>
      </c>
      <c r="H35" s="176"/>
      <c r="I35" s="13" t="s">
        <v>8</v>
      </c>
      <c r="J35" s="288"/>
      <c r="K35" s="17"/>
      <c r="L35" s="11"/>
      <c r="N35" s="1">
        <f>IF(OR(Q35&lt;0,Q35&gt;1),1,0)</f>
        <v>0</v>
      </c>
      <c r="O35" s="320" t="s">
        <v>27</v>
      </c>
      <c r="P35" s="7" t="s">
        <v>1</v>
      </c>
      <c r="Q35" s="399">
        <v>1</v>
      </c>
      <c r="AB35" s="147"/>
    </row>
    <row r="36" spans="2:28" ht="15.75">
      <c r="B36" s="11"/>
      <c r="C36" s="253"/>
      <c r="E36" s="443" t="s">
        <v>55</v>
      </c>
      <c r="F36" s="6" t="s">
        <v>1</v>
      </c>
      <c r="G36" s="574">
        <f>0.2/100</f>
        <v>0.002</v>
      </c>
      <c r="H36" s="176"/>
      <c r="I36" s="250" t="s">
        <v>8</v>
      </c>
      <c r="J36" s="288"/>
      <c r="K36" s="17"/>
      <c r="L36" s="188"/>
      <c r="M36" s="253"/>
      <c r="N36" s="1">
        <f>IF(OR(Q36&lt;1,Q36&gt;G15),1,0)</f>
        <v>0</v>
      </c>
      <c r="O36" s="315" t="s">
        <v>32</v>
      </c>
      <c r="P36" s="21" t="s">
        <v>33</v>
      </c>
      <c r="Q36" s="475">
        <v>5</v>
      </c>
      <c r="R36" s="231"/>
      <c r="S36" s="13" t="s">
        <v>8</v>
      </c>
      <c r="AB36" s="147"/>
    </row>
    <row r="37" spans="2:28" ht="16.5" thickBot="1">
      <c r="B37" s="11"/>
      <c r="E37" s="315" t="s">
        <v>261</v>
      </c>
      <c r="F37" s="7" t="s">
        <v>0</v>
      </c>
      <c r="G37" s="345">
        <f>$G$36*IF($G$18="Simple",$G$26,IF($G$18="Intermediate",SUM($G$20:$G$23),SUM(0)))</f>
        <v>8979.872940517322</v>
      </c>
      <c r="H37" s="176"/>
      <c r="I37" s="250" t="s">
        <v>8</v>
      </c>
      <c r="J37" s="288"/>
      <c r="K37" s="17"/>
      <c r="L37" s="11"/>
      <c r="O37" s="321" t="s">
        <v>287</v>
      </c>
      <c r="P37" s="276" t="s">
        <v>0</v>
      </c>
      <c r="Q37" s="445">
        <f>IF(AND($G$73="Yes",$Q$33="Cost-Based"),SUM('Cash Flow'!$G$177:$AJ$177),0)</f>
        <v>0</v>
      </c>
      <c r="R37" s="231"/>
      <c r="S37" s="13" t="s">
        <v>8</v>
      </c>
      <c r="AB37" s="147"/>
    </row>
    <row r="38" spans="2:28" ht="15.75">
      <c r="B38" s="11"/>
      <c r="C38" s="253"/>
      <c r="E38" s="317" t="s">
        <v>168</v>
      </c>
      <c r="F38" s="6" t="s">
        <v>11</v>
      </c>
      <c r="G38" s="577">
        <f>5*G8</f>
        <v>13333.333333333332</v>
      </c>
      <c r="H38" s="176"/>
      <c r="I38" s="250" t="s">
        <v>8</v>
      </c>
      <c r="J38" s="289"/>
      <c r="K38" s="17"/>
      <c r="L38" s="188"/>
      <c r="M38" s="258"/>
      <c r="O38" s="443" t="s">
        <v>251</v>
      </c>
      <c r="P38" s="6"/>
      <c r="Q38" s="444" t="s">
        <v>309</v>
      </c>
      <c r="R38" s="460">
        <f>IF(OR($Q$33="Cost-Based",$Q$33="Neither"),1,0)</f>
        <v>1</v>
      </c>
      <c r="S38" s="13" t="s">
        <v>8</v>
      </c>
      <c r="AB38" s="147"/>
    </row>
    <row r="39" spans="2:28" ht="15.75">
      <c r="B39" s="11"/>
      <c r="C39" s="253"/>
      <c r="E39" s="315" t="s">
        <v>200</v>
      </c>
      <c r="F39" s="6" t="s">
        <v>11</v>
      </c>
      <c r="G39" s="540">
        <f>'Input Assumptions'!D3*'Input Assumptions'!D13</f>
        <v>12000</v>
      </c>
      <c r="H39" s="176"/>
      <c r="I39" s="250" t="s">
        <v>8</v>
      </c>
      <c r="J39" s="288"/>
      <c r="K39" s="17"/>
      <c r="L39" s="11"/>
      <c r="O39" s="315" t="s">
        <v>300</v>
      </c>
      <c r="P39" s="79" t="s">
        <v>0</v>
      </c>
      <c r="Q39" s="463">
        <v>250</v>
      </c>
      <c r="R39" s="144"/>
      <c r="S39" s="13" t="s">
        <v>8</v>
      </c>
      <c r="T39" s="17"/>
      <c r="U39" s="17"/>
      <c r="AB39" s="147"/>
    </row>
    <row r="40" spans="2:28" ht="15.75">
      <c r="B40" s="11"/>
      <c r="C40" s="253"/>
      <c r="E40" s="315" t="s">
        <v>199</v>
      </c>
      <c r="F40" s="6" t="s">
        <v>1</v>
      </c>
      <c r="G40" s="574">
        <v>-0.035</v>
      </c>
      <c r="H40" s="176"/>
      <c r="I40" s="250" t="s">
        <v>8</v>
      </c>
      <c r="J40" s="288"/>
      <c r="K40" s="17"/>
      <c r="L40" s="188"/>
      <c r="M40" s="258"/>
      <c r="O40" s="315" t="s">
        <v>310</v>
      </c>
      <c r="P40" s="10"/>
      <c r="Q40" s="400" t="s">
        <v>315</v>
      </c>
      <c r="R40" s="460">
        <f>IF(OR($Q$33="Cost-Based",$Q$33="Neither",$Q$38="Tax Credit"),1,0)</f>
        <v>1</v>
      </c>
      <c r="S40" s="13" t="s">
        <v>8</v>
      </c>
      <c r="U40" s="233"/>
      <c r="AB40" s="147"/>
    </row>
    <row r="41" spans="2:28" ht="15.75">
      <c r="B41" s="11"/>
      <c r="C41" s="253"/>
      <c r="E41" s="315" t="s">
        <v>268</v>
      </c>
      <c r="F41" s="6" t="s">
        <v>11</v>
      </c>
      <c r="G41" s="540">
        <f>('Input Assumptions'!D15*'Input Assumptions'!D16*(G8/1000))</f>
        <v>13333.333333333332</v>
      </c>
      <c r="H41" s="176"/>
      <c r="I41" s="250" t="s">
        <v>8</v>
      </c>
      <c r="J41" s="147"/>
      <c r="K41" s="17"/>
      <c r="L41" s="188"/>
      <c r="M41" s="253"/>
      <c r="O41" s="315" t="s">
        <v>301</v>
      </c>
      <c r="P41" s="93" t="s">
        <v>50</v>
      </c>
      <c r="Q41" s="394">
        <v>1.5</v>
      </c>
      <c r="R41" s="144"/>
      <c r="S41" s="13" t="s">
        <v>8</v>
      </c>
      <c r="T41" s="231">
        <f>IF(OR($Q$33="Cost-Based",$Q$33="Neither",$Q$38="Tax Credit"),1,0)</f>
        <v>1</v>
      </c>
      <c r="AB41" s="147"/>
    </row>
    <row r="42" spans="2:28" ht="15.75">
      <c r="B42" s="11"/>
      <c r="C42" s="253"/>
      <c r="E42" s="317" t="s">
        <v>101</v>
      </c>
      <c r="F42" s="6" t="s">
        <v>1</v>
      </c>
      <c r="G42" s="574">
        <v>0</v>
      </c>
      <c r="H42" s="176"/>
      <c r="I42" s="250" t="s">
        <v>8</v>
      </c>
      <c r="J42" s="288"/>
      <c r="K42" s="17"/>
      <c r="L42" s="11"/>
      <c r="N42" s="474">
        <f>IF(OR(Q42&lt;0,Q42&gt;1),1,0)</f>
        <v>0</v>
      </c>
      <c r="O42" s="315" t="s">
        <v>144</v>
      </c>
      <c r="P42" s="7" t="s">
        <v>1</v>
      </c>
      <c r="Q42" s="395">
        <v>1</v>
      </c>
      <c r="T42" s="231"/>
      <c r="U42" s="24"/>
      <c r="AB42" s="147"/>
    </row>
    <row r="43" spans="2:28" ht="16.5" thickBot="1">
      <c r="B43" s="11"/>
      <c r="E43" s="321" t="s">
        <v>262</v>
      </c>
      <c r="F43" s="322" t="s">
        <v>0</v>
      </c>
      <c r="G43" s="346">
        <f>-'Cash Flow'!G34</f>
        <v>0</v>
      </c>
      <c r="H43" s="176"/>
      <c r="I43" s="250" t="s">
        <v>8</v>
      </c>
      <c r="J43" s="147"/>
      <c r="K43" s="17"/>
      <c r="L43" s="188"/>
      <c r="M43" s="253"/>
      <c r="N43" s="1">
        <f>IF(OR(Q43&lt;0,Q43&gt;G15),1,0)</f>
        <v>0</v>
      </c>
      <c r="O43" s="315" t="s">
        <v>308</v>
      </c>
      <c r="P43" s="21" t="s">
        <v>33</v>
      </c>
      <c r="Q43" s="475">
        <v>10</v>
      </c>
      <c r="R43" s="24"/>
      <c r="S43" s="13" t="s">
        <v>8</v>
      </c>
      <c r="U43" s="24"/>
      <c r="AB43" s="147"/>
    </row>
    <row r="44" spans="2:28" ht="16.5" thickBot="1">
      <c r="B44" s="11"/>
      <c r="C44" s="212"/>
      <c r="E44" s="12"/>
      <c r="F44" s="12"/>
      <c r="G44" s="12"/>
      <c r="I44" s="19"/>
      <c r="J44" s="288"/>
      <c r="K44" s="17"/>
      <c r="L44" s="188"/>
      <c r="M44" s="253"/>
      <c r="O44" s="315" t="s">
        <v>302</v>
      </c>
      <c r="P44" s="6" t="s">
        <v>1</v>
      </c>
      <c r="Q44" s="395">
        <v>0.02</v>
      </c>
      <c r="R44" s="17"/>
      <c r="S44" s="13" t="s">
        <v>8</v>
      </c>
      <c r="T44" s="231"/>
      <c r="U44" s="249"/>
      <c r="AB44" s="147"/>
    </row>
    <row r="45" spans="2:28" ht="16.5" thickBot="1">
      <c r="B45" s="11"/>
      <c r="C45" s="212"/>
      <c r="E45" s="5" t="s">
        <v>163</v>
      </c>
      <c r="F45" s="232" t="s">
        <v>236</v>
      </c>
      <c r="G45" s="294" t="s">
        <v>265</v>
      </c>
      <c r="H45" s="179"/>
      <c r="I45" s="19"/>
      <c r="J45" s="288"/>
      <c r="K45" s="17"/>
      <c r="L45" s="188"/>
      <c r="M45" s="253"/>
      <c r="N45" s="17"/>
      <c r="O45" s="461" t="s">
        <v>306</v>
      </c>
      <c r="P45" s="375" t="s">
        <v>30</v>
      </c>
      <c r="Q45" s="562">
        <v>0.25</v>
      </c>
      <c r="S45" s="13" t="s">
        <v>8</v>
      </c>
      <c r="U45" s="24"/>
      <c r="AB45" s="147"/>
    </row>
    <row r="46" spans="2:28" ht="15.75">
      <c r="B46" s="11"/>
      <c r="C46" s="256"/>
      <c r="E46" s="347" t="s">
        <v>5</v>
      </c>
      <c r="F46" s="313" t="s">
        <v>37</v>
      </c>
      <c r="G46" s="348">
        <v>6</v>
      </c>
      <c r="H46" s="179"/>
      <c r="I46" s="13" t="s">
        <v>8</v>
      </c>
      <c r="J46" s="288"/>
      <c r="K46" s="17"/>
      <c r="L46" s="11"/>
      <c r="O46" s="315" t="s">
        <v>297</v>
      </c>
      <c r="P46" s="21" t="s">
        <v>0</v>
      </c>
      <c r="Q46" s="462">
        <v>1000000</v>
      </c>
      <c r="S46" s="13" t="s">
        <v>8</v>
      </c>
      <c r="U46" s="24"/>
      <c r="AB46" s="147"/>
    </row>
    <row r="47" spans="2:28" ht="16.5" thickBot="1">
      <c r="B47" s="11"/>
      <c r="C47" s="256"/>
      <c r="E47" s="340" t="s">
        <v>36</v>
      </c>
      <c r="F47" s="7" t="s">
        <v>1</v>
      </c>
      <c r="G47" s="341">
        <v>0.05</v>
      </c>
      <c r="H47" s="179"/>
      <c r="I47" s="13" t="s">
        <v>8</v>
      </c>
      <c r="J47" s="288"/>
      <c r="K47" s="17"/>
      <c r="L47" s="188"/>
      <c r="M47" s="258"/>
      <c r="O47" s="321" t="s">
        <v>299</v>
      </c>
      <c r="P47" s="322"/>
      <c r="Q47" s="373" t="s">
        <v>12</v>
      </c>
      <c r="R47" s="24"/>
      <c r="S47" s="13" t="s">
        <v>8</v>
      </c>
      <c r="U47" s="17"/>
      <c r="AB47" s="147"/>
    </row>
    <row r="48" spans="2:28" ht="16.5" thickBot="1">
      <c r="B48" s="11"/>
      <c r="C48" s="212"/>
      <c r="E48" s="343" t="s">
        <v>38</v>
      </c>
      <c r="F48" s="336" t="s">
        <v>0</v>
      </c>
      <c r="G48" s="346">
        <f>IF($G$18="intermediate",SUM(G20:G23)*($G$47/12)*($G$46/2),IF($G$18="complex",0,0))</f>
        <v>56124.20587823325</v>
      </c>
      <c r="H48" s="179"/>
      <c r="I48" s="13" t="s">
        <v>8</v>
      </c>
      <c r="J48" s="288"/>
      <c r="K48" s="17"/>
      <c r="L48" s="11"/>
      <c r="U48" s="190"/>
      <c r="AB48" s="147"/>
    </row>
    <row r="49" spans="2:28" ht="16.5" thickBot="1">
      <c r="B49" s="11"/>
      <c r="G49" s="91"/>
      <c r="H49" s="91"/>
      <c r="I49" s="19"/>
      <c r="J49" s="288"/>
      <c r="K49" s="17"/>
      <c r="L49" s="188"/>
      <c r="M49" s="17"/>
      <c r="N49" s="17"/>
      <c r="O49" s="5" t="s">
        <v>225</v>
      </c>
      <c r="P49" s="26"/>
      <c r="Q49" s="294" t="s">
        <v>265</v>
      </c>
      <c r="R49" s="17"/>
      <c r="S49" s="17"/>
      <c r="T49" s="17"/>
      <c r="U49" s="17"/>
      <c r="AB49" s="147"/>
    </row>
    <row r="50" spans="2:28" ht="16.5" thickBot="1">
      <c r="B50" s="11"/>
      <c r="C50" s="212"/>
      <c r="E50" s="5" t="s">
        <v>35</v>
      </c>
      <c r="F50" s="232" t="s">
        <v>236</v>
      </c>
      <c r="G50" s="294" t="s">
        <v>265</v>
      </c>
      <c r="H50" s="179"/>
      <c r="I50" s="292"/>
      <c r="J50" s="288"/>
      <c r="K50" s="17"/>
      <c r="L50" s="188"/>
      <c r="M50" s="259"/>
      <c r="N50" s="17">
        <f>IF(OR(Q50&lt;1,Q50&gt;$G$15),1,0)</f>
        <v>0</v>
      </c>
      <c r="O50" s="347" t="s">
        <v>53</v>
      </c>
      <c r="P50" s="397" t="s">
        <v>28</v>
      </c>
      <c r="Q50" s="401">
        <v>10</v>
      </c>
      <c r="R50" s="17"/>
      <c r="S50" s="13" t="s">
        <v>8</v>
      </c>
      <c r="T50" s="17"/>
      <c r="U50" s="17"/>
      <c r="AB50" s="147"/>
    </row>
    <row r="51" spans="2:28" ht="16.5" thickBot="1">
      <c r="B51" s="11"/>
      <c r="C51" s="253"/>
      <c r="D51" s="1">
        <f>IF(OR(G51="",G51&lt;0,G51&gt;1),1,0)</f>
        <v>0</v>
      </c>
      <c r="E51" s="344" t="s">
        <v>201</v>
      </c>
      <c r="F51" s="313" t="s">
        <v>1</v>
      </c>
      <c r="G51" s="349">
        <v>0.45</v>
      </c>
      <c r="H51" s="180"/>
      <c r="I51" s="13" t="s">
        <v>8</v>
      </c>
      <c r="J51" s="289"/>
      <c r="K51" s="17"/>
      <c r="L51" s="188"/>
      <c r="M51" s="211"/>
      <c r="N51" s="17"/>
      <c r="O51" s="340" t="s">
        <v>208</v>
      </c>
      <c r="P51" s="21" t="str">
        <f>F19</f>
        <v>$/Watt dc</v>
      </c>
      <c r="Q51" s="561">
        <v>0.13</v>
      </c>
      <c r="R51" s="17"/>
      <c r="S51" s="13" t="s">
        <v>8</v>
      </c>
      <c r="T51" s="17"/>
      <c r="U51" s="17"/>
      <c r="AB51" s="147"/>
    </row>
    <row r="52" spans="2:28" ht="15.75">
      <c r="B52" s="11"/>
      <c r="C52" s="253"/>
      <c r="D52" s="1">
        <f>IF(OR(G52&lt;=0,G52&gt;G15),1,0)</f>
        <v>0</v>
      </c>
      <c r="E52" s="315" t="s">
        <v>295</v>
      </c>
      <c r="F52" s="6" t="s">
        <v>4</v>
      </c>
      <c r="G52" s="342">
        <v>15</v>
      </c>
      <c r="H52" s="164"/>
      <c r="I52" s="13" t="s">
        <v>8</v>
      </c>
      <c r="J52" s="289"/>
      <c r="K52" s="17"/>
      <c r="L52" s="188"/>
      <c r="M52" s="259"/>
      <c r="N52" s="17">
        <f>IF(OR(Q52&lt;=Q50,Q52&gt;$G$15),1,0)</f>
        <v>1</v>
      </c>
      <c r="O52" s="340" t="s">
        <v>54</v>
      </c>
      <c r="P52" s="21" t="s">
        <v>28</v>
      </c>
      <c r="Q52" s="401"/>
      <c r="R52" s="17"/>
      <c r="S52" s="13" t="s">
        <v>8</v>
      </c>
      <c r="T52" s="17"/>
      <c r="U52" s="17"/>
      <c r="AB52" s="147"/>
    </row>
    <row r="53" spans="2:28" ht="16.5" thickBot="1">
      <c r="B53" s="11"/>
      <c r="C53" s="256"/>
      <c r="D53" s="1">
        <f>IF(OR(G53&lt;0,G53=""),1,0)</f>
        <v>0</v>
      </c>
      <c r="E53" s="315" t="s">
        <v>170</v>
      </c>
      <c r="F53" s="7" t="s">
        <v>1</v>
      </c>
      <c r="G53" s="560">
        <v>0.06</v>
      </c>
      <c r="H53" s="181"/>
      <c r="I53" s="13" t="s">
        <v>8</v>
      </c>
      <c r="J53" s="289"/>
      <c r="K53" s="17"/>
      <c r="L53" s="188"/>
      <c r="M53" s="211"/>
      <c r="N53" s="17"/>
      <c r="O53" s="343" t="s">
        <v>209</v>
      </c>
      <c r="P53" s="276" t="str">
        <f>F19</f>
        <v>$/Watt dc</v>
      </c>
      <c r="Q53" s="402"/>
      <c r="R53" s="17"/>
      <c r="S53" s="13" t="s">
        <v>8</v>
      </c>
      <c r="T53" s="17"/>
      <c r="U53" s="17"/>
      <c r="AB53" s="147"/>
    </row>
    <row r="54" spans="2:28" ht="16.5" thickBot="1">
      <c r="B54" s="11"/>
      <c r="C54" s="253"/>
      <c r="D54" s="1">
        <f>IF(OR(G54&lt;0,G54=""),1,0)</f>
        <v>0</v>
      </c>
      <c r="E54" s="350" t="s">
        <v>49</v>
      </c>
      <c r="F54" s="322" t="s">
        <v>1</v>
      </c>
      <c r="G54" s="351">
        <v>0.03</v>
      </c>
      <c r="H54" s="162"/>
      <c r="I54" s="13" t="s">
        <v>8</v>
      </c>
      <c r="J54" s="288"/>
      <c r="K54" s="17"/>
      <c r="L54" s="188"/>
      <c r="M54" s="17"/>
      <c r="N54" s="17"/>
      <c r="R54" s="17"/>
      <c r="T54" s="17"/>
      <c r="U54" s="17"/>
      <c r="AB54" s="147"/>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9</v>
      </c>
      <c r="G56" s="356">
        <f>ROUND('Cash Flow'!$F$41,2)</f>
        <v>1.69</v>
      </c>
      <c r="H56" s="170"/>
      <c r="I56" s="13" t="s">
        <v>8</v>
      </c>
      <c r="J56" s="288"/>
      <c r="K56" s="17"/>
      <c r="L56" s="188"/>
      <c r="M56" s="17"/>
      <c r="N56" s="17"/>
      <c r="O56" s="403" t="s">
        <v>45</v>
      </c>
      <c r="P56" s="404"/>
      <c r="Q56" s="405"/>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6" t="s">
        <v>47</v>
      </c>
      <c r="P57" s="295"/>
      <c r="Q57" s="400" t="s">
        <v>257</v>
      </c>
      <c r="R57" s="17"/>
      <c r="S57" s="13" t="s">
        <v>8</v>
      </c>
      <c r="T57" s="17"/>
      <c r="U57" s="17"/>
      <c r="AB57" s="147"/>
    </row>
    <row r="58" spans="2:28" ht="16.5" thickBot="1">
      <c r="B58" s="11"/>
      <c r="C58" s="253"/>
      <c r="E58" s="355" t="s">
        <v>206</v>
      </c>
      <c r="F58" s="10"/>
      <c r="G58" s="358">
        <v>1.45</v>
      </c>
      <c r="H58" s="169"/>
      <c r="I58" s="13" t="s">
        <v>8</v>
      </c>
      <c r="J58" s="288"/>
      <c r="K58" s="17"/>
      <c r="L58" s="188"/>
      <c r="M58" s="259"/>
      <c r="N58" s="17"/>
      <c r="O58" s="343" t="s">
        <v>48</v>
      </c>
      <c r="P58" s="276" t="s">
        <v>0</v>
      </c>
      <c r="Q58" s="363">
        <v>0</v>
      </c>
      <c r="R58" s="17"/>
      <c r="S58" s="13" t="s">
        <v>8</v>
      </c>
      <c r="T58" s="17"/>
      <c r="U58" s="266"/>
      <c r="AB58" s="147"/>
    </row>
    <row r="59" spans="2:28" ht="16.5" thickBot="1">
      <c r="B59" s="11"/>
      <c r="E59" s="355" t="s">
        <v>205</v>
      </c>
      <c r="F59" s="149"/>
      <c r="G59" s="356">
        <f>ROUND('Cash Flow'!$E$41,2)</f>
        <v>1.77</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0.55</v>
      </c>
      <c r="H61" s="182"/>
      <c r="I61" s="13" t="s">
        <v>8</v>
      </c>
      <c r="J61" s="288"/>
      <c r="K61" s="17"/>
      <c r="L61" s="188"/>
      <c r="M61" s="17"/>
      <c r="N61" s="17"/>
      <c r="O61" s="407" t="s">
        <v>40</v>
      </c>
      <c r="P61" s="408"/>
      <c r="Q61" s="409"/>
      <c r="R61" s="17"/>
      <c r="S61" s="17"/>
      <c r="T61" s="17"/>
      <c r="U61" s="17"/>
      <c r="AB61" s="147"/>
    </row>
    <row r="62" spans="2:28" ht="16.5" thickBot="1">
      <c r="B62" s="11"/>
      <c r="C62" s="253"/>
      <c r="D62" s="1">
        <f>IF(OR(G62&lt;0,G62=""),1,0)</f>
        <v>0</v>
      </c>
      <c r="E62" s="361" t="s">
        <v>217</v>
      </c>
      <c r="F62" s="322" t="s">
        <v>1</v>
      </c>
      <c r="G62" s="574">
        <v>0.14</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2">
        <f>(G62*F68)+(F67*G53*(1-G78))</f>
        <v>0.08635848186490294</v>
      </c>
      <c r="I63" s="13" t="s">
        <v>8</v>
      </c>
      <c r="J63" s="147"/>
      <c r="K63" s="17"/>
      <c r="L63" s="188"/>
      <c r="M63" s="17"/>
      <c r="N63" s="17"/>
      <c r="O63" s="321" t="s">
        <v>43</v>
      </c>
      <c r="P63" s="322" t="s">
        <v>0</v>
      </c>
      <c r="Q63" s="410">
        <f>-'Cash Flow'!$G$85/12*$Q$62</f>
        <v>90039.46530942459</v>
      </c>
      <c r="R63" s="17"/>
      <c r="S63" s="13" t="s">
        <v>8</v>
      </c>
      <c r="T63" s="17"/>
      <c r="U63" s="17"/>
      <c r="AB63" s="147"/>
    </row>
    <row r="64" spans="2:28" ht="16.5" thickBot="1">
      <c r="B64" s="11"/>
      <c r="C64" s="253"/>
      <c r="E64" s="350" t="s">
        <v>150</v>
      </c>
      <c r="F64" s="322" t="s">
        <v>0</v>
      </c>
      <c r="G64" s="363">
        <v>0</v>
      </c>
      <c r="H64" s="178"/>
      <c r="I64" s="13" t="s">
        <v>8</v>
      </c>
      <c r="J64" s="147"/>
      <c r="K64" s="17"/>
      <c r="L64" s="188"/>
      <c r="M64" s="17"/>
      <c r="N64" s="17"/>
      <c r="O64" s="407" t="s">
        <v>52</v>
      </c>
      <c r="P64" s="408"/>
      <c r="Q64" s="411"/>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0">
        <f>-(AVERAGE('Cash Flow'!G36:AJ36)/12*$Q$65)</f>
        <v>43961.34377416317</v>
      </c>
      <c r="R66" s="17"/>
      <c r="S66" s="13" t="s">
        <v>8</v>
      </c>
      <c r="T66" s="17"/>
      <c r="U66" s="17"/>
      <c r="AB66" s="147"/>
    </row>
    <row r="67" spans="2:28" ht="16.5" thickBot="1">
      <c r="B67" s="188"/>
      <c r="E67" s="344" t="s">
        <v>202</v>
      </c>
      <c r="F67" s="447">
        <f>G67/$G$70</f>
        <v>0.3689287243036439</v>
      </c>
      <c r="G67" s="364">
        <f>'Cash Flow'!F82</f>
        <v>1748971.4116163973</v>
      </c>
      <c r="I67" s="13" t="s">
        <v>8</v>
      </c>
      <c r="J67" s="147"/>
      <c r="K67" s="17"/>
      <c r="L67" s="188"/>
      <c r="M67" s="259"/>
      <c r="N67" s="17"/>
      <c r="O67" s="413" t="s">
        <v>133</v>
      </c>
      <c r="P67" s="324" t="s">
        <v>1</v>
      </c>
      <c r="Q67" s="412">
        <v>0.02</v>
      </c>
      <c r="R67" s="17"/>
      <c r="S67" s="13" t="s">
        <v>8</v>
      </c>
      <c r="T67" s="17"/>
      <c r="AB67" s="147"/>
    </row>
    <row r="68" spans="2:28" ht="16.5" thickBot="1">
      <c r="B68" s="188"/>
      <c r="E68" s="315" t="s">
        <v>203</v>
      </c>
      <c r="F68" s="446">
        <f>G68/$G$70</f>
        <v>0.503803902703211</v>
      </c>
      <c r="G68" s="345">
        <f>-'Cash Flow'!$F$52</f>
        <v>2388370.882619242</v>
      </c>
      <c r="I68" s="13" t="s">
        <v>8</v>
      </c>
      <c r="J68" s="147"/>
      <c r="L68" s="11"/>
      <c r="AB68" s="147"/>
    </row>
    <row r="69" spans="2:28" ht="16.5" thickBot="1">
      <c r="B69" s="11"/>
      <c r="E69" s="365" t="s">
        <v>260</v>
      </c>
      <c r="F69" s="448">
        <f>G69/$G$70</f>
        <v>0.12726737299314525</v>
      </c>
      <c r="G69" s="579">
        <f>IF($Q$30="Yes",$Q$29*(1-$G$74),$Q$29)+IF($Q$47="Yes",IF($Q$46=0,($Q$45*$G$8*1000)*(1-$G$76),MIN($Q$46*(1-$G$76),($Q$45*$G$8*1000)*(1-$G$76))),IF($Q$46=0,$Q$45*$G$8*1000,MIN($Q$46,$Q$45*$G$8*1000)))</f>
        <v>603333.3333333334</v>
      </c>
      <c r="I69" s="13" t="s">
        <v>8</v>
      </c>
      <c r="J69" s="147"/>
      <c r="L69" s="11"/>
      <c r="O69" s="301" t="s">
        <v>84</v>
      </c>
      <c r="P69" s="432" t="s">
        <v>266</v>
      </c>
      <c r="Q69" s="432"/>
      <c r="R69" s="432"/>
      <c r="S69" s="432"/>
      <c r="T69" s="432"/>
      <c r="U69" s="432"/>
      <c r="V69" s="432"/>
      <c r="W69" s="432"/>
      <c r="X69" s="432"/>
      <c r="Y69" s="432"/>
      <c r="Z69" s="201"/>
      <c r="AB69" s="147"/>
    </row>
    <row r="70" spans="2:28" ht="17.25" thickBot="1" thickTop="1">
      <c r="B70" s="188"/>
      <c r="E70" s="366" t="s">
        <v>123</v>
      </c>
      <c r="F70" s="367" t="s">
        <v>0</v>
      </c>
      <c r="G70" s="368">
        <f>SUM(G67:G69)</f>
        <v>4740675.627568972</v>
      </c>
      <c r="I70" s="13" t="s">
        <v>8</v>
      </c>
      <c r="J70" s="147"/>
      <c r="L70" s="11"/>
      <c r="M70" s="257"/>
      <c r="N70" s="17"/>
      <c r="O70" s="396" t="s">
        <v>269</v>
      </c>
      <c r="P70" s="389" t="s">
        <v>12</v>
      </c>
      <c r="S70" s="300" t="s">
        <v>8</v>
      </c>
      <c r="Z70" s="147"/>
      <c r="AB70" s="147"/>
    </row>
    <row r="71" spans="2:28" ht="16.5" thickBot="1">
      <c r="B71" s="11"/>
      <c r="J71" s="147"/>
      <c r="L71" s="11"/>
      <c r="M71" s="259"/>
      <c r="O71" s="321" t="s">
        <v>270</v>
      </c>
      <c r="P71" s="578">
        <v>1</v>
      </c>
      <c r="S71" s="13" t="s">
        <v>8</v>
      </c>
      <c r="Z71" s="195"/>
      <c r="AB71" s="147"/>
    </row>
    <row r="72" spans="2:28" ht="16.5" thickBot="1">
      <c r="B72" s="11"/>
      <c r="E72" s="5" t="s">
        <v>142</v>
      </c>
      <c r="F72" s="232" t="s">
        <v>236</v>
      </c>
      <c r="G72" s="294" t="s">
        <v>265</v>
      </c>
      <c r="H72" s="183"/>
      <c r="I72" s="19"/>
      <c r="J72" s="147"/>
      <c r="L72" s="11"/>
      <c r="M72" s="17"/>
      <c r="N72" s="17"/>
      <c r="O72" s="414" t="s">
        <v>280</v>
      </c>
      <c r="P72" s="415" t="s">
        <v>21</v>
      </c>
      <c r="Q72" s="469" t="s">
        <v>116</v>
      </c>
      <c r="R72" s="648" t="s">
        <v>22</v>
      </c>
      <c r="S72" s="649"/>
      <c r="T72" s="650"/>
      <c r="U72" s="415" t="s">
        <v>117</v>
      </c>
      <c r="V72" s="415" t="s">
        <v>118</v>
      </c>
      <c r="W72" s="415" t="s">
        <v>23</v>
      </c>
      <c r="X72" s="415" t="s">
        <v>24</v>
      </c>
      <c r="Y72" s="415" t="s">
        <v>119</v>
      </c>
      <c r="Z72" s="416" t="s">
        <v>25</v>
      </c>
      <c r="AB72" s="147"/>
    </row>
    <row r="73" spans="2:28" ht="16.5" thickBot="1">
      <c r="B73" s="11"/>
      <c r="C73" s="257"/>
      <c r="E73" s="323" t="s">
        <v>17</v>
      </c>
      <c r="F73" s="369"/>
      <c r="G73" s="370" t="s">
        <v>12</v>
      </c>
      <c r="H73" s="172"/>
      <c r="I73" s="13" t="s">
        <v>8</v>
      </c>
      <c r="J73" s="147"/>
      <c r="L73" s="11">
        <f>IF(AND($G$73="Yes",$G$18="Simple"),1,0)</f>
        <v>0</v>
      </c>
      <c r="M73" s="17"/>
      <c r="N73" s="144">
        <f>IF(AND($G$18="Simple",SUM(P73:Z73)=1),1,IF(AND($G$18="Simple",SUM(P73:Z73)&lt;&gt;1),2,0))</f>
        <v>0</v>
      </c>
      <c r="O73" s="417" t="str">
        <f aca="true" t="shared" si="0" ref="O73:O78">E19</f>
        <v>Total Installed Cost</v>
      </c>
      <c r="P73" s="418">
        <v>0.94</v>
      </c>
      <c r="Q73" s="470">
        <v>0</v>
      </c>
      <c r="R73" s="651">
        <v>0.015</v>
      </c>
      <c r="S73" s="652"/>
      <c r="T73" s="653"/>
      <c r="U73" s="418">
        <v>0.01</v>
      </c>
      <c r="V73" s="418">
        <v>0</v>
      </c>
      <c r="W73" s="418">
        <v>0</v>
      </c>
      <c r="X73" s="418">
        <v>0.01</v>
      </c>
      <c r="Y73" s="418">
        <v>0</v>
      </c>
      <c r="Z73" s="419">
        <v>0.025</v>
      </c>
      <c r="AB73" s="184" t="s">
        <v>8</v>
      </c>
    </row>
    <row r="74" spans="2:28" ht="15.75">
      <c r="B74" s="11"/>
      <c r="C74" s="253"/>
      <c r="D74" s="1">
        <f>IF(OR(G74&lt;0,G74=""),1,0)</f>
        <v>0</v>
      </c>
      <c r="E74" s="312" t="s">
        <v>6</v>
      </c>
      <c r="F74" s="313" t="s">
        <v>1</v>
      </c>
      <c r="G74" s="573">
        <v>0.21</v>
      </c>
      <c r="H74" s="162"/>
      <c r="I74" s="13" t="s">
        <v>8</v>
      </c>
      <c r="J74" s="288"/>
      <c r="L74" s="11">
        <f>IF(AND($G$73="Yes",$G$18="Intermediate"),1,0)</f>
        <v>1</v>
      </c>
      <c r="M74" s="17"/>
      <c r="N74" s="144">
        <f>IF(AND($G$18="Intermediate",SUM(P74:Z74)=1),1,IF(AND($G$18="Intermediate",SUM(P74:Z74)&lt;&gt;1),2,0))</f>
        <v>1</v>
      </c>
      <c r="O74" s="420" t="str">
        <f t="shared" si="0"/>
        <v>Generation Equipment</v>
      </c>
      <c r="P74" s="421">
        <v>0.96</v>
      </c>
      <c r="Q74" s="471">
        <v>0</v>
      </c>
      <c r="R74" s="654">
        <v>0.02</v>
      </c>
      <c r="S74" s="655"/>
      <c r="T74" s="656"/>
      <c r="U74" s="421">
        <v>0</v>
      </c>
      <c r="V74" s="421">
        <v>0</v>
      </c>
      <c r="W74" s="421">
        <v>0</v>
      </c>
      <c r="X74" s="421">
        <v>0.02</v>
      </c>
      <c r="Y74" s="421">
        <v>0</v>
      </c>
      <c r="Z74" s="422">
        <v>0</v>
      </c>
      <c r="AB74" s="184" t="s">
        <v>8</v>
      </c>
    </row>
    <row r="75" spans="2:28" ht="16.5" thickBot="1">
      <c r="B75" s="11"/>
      <c r="C75" s="257"/>
      <c r="E75" s="371" t="s">
        <v>231</v>
      </c>
      <c r="F75" s="372"/>
      <c r="G75" s="373" t="s">
        <v>259</v>
      </c>
      <c r="H75" s="172"/>
      <c r="I75" s="13" t="s">
        <v>8</v>
      </c>
      <c r="J75" s="147"/>
      <c r="L75" s="11">
        <f>IF(AND($G$73="Yes",$G$18="Intermediate"),1,0)</f>
        <v>1</v>
      </c>
      <c r="M75" s="17"/>
      <c r="N75" s="144">
        <f>IF(AND($G$18="Intermediate",SUM(P75:Z75)=1),1,IF(AND($G$18="Intermediate",SUM(P75:Z75)&lt;&gt;1),2,0))</f>
        <v>1</v>
      </c>
      <c r="O75" s="423" t="str">
        <f t="shared" si="0"/>
        <v>Balance of Plant</v>
      </c>
      <c r="P75" s="251">
        <v>0.5</v>
      </c>
      <c r="Q75" s="467">
        <v>0</v>
      </c>
      <c r="R75" s="637">
        <v>0</v>
      </c>
      <c r="S75" s="638"/>
      <c r="T75" s="639"/>
      <c r="U75" s="251">
        <v>0</v>
      </c>
      <c r="V75" s="251">
        <v>0</v>
      </c>
      <c r="W75" s="251">
        <v>0.5</v>
      </c>
      <c r="X75" s="251">
        <v>0</v>
      </c>
      <c r="Y75" s="251">
        <v>0</v>
      </c>
      <c r="Z75" s="424">
        <v>0</v>
      </c>
      <c r="AB75" s="184" t="s">
        <v>8</v>
      </c>
    </row>
    <row r="76" spans="2:28" ht="15.75">
      <c r="B76" s="11"/>
      <c r="C76" s="253"/>
      <c r="D76" s="1">
        <f>IF(OR(G76&lt;0,G76=""),1,0)</f>
        <v>0</v>
      </c>
      <c r="E76" s="312" t="s">
        <v>7</v>
      </c>
      <c r="F76" s="313" t="s">
        <v>1</v>
      </c>
      <c r="G76" s="573">
        <v>0.095</v>
      </c>
      <c r="H76" s="162"/>
      <c r="I76" s="13" t="s">
        <v>8</v>
      </c>
      <c r="J76" s="288"/>
      <c r="L76" s="11">
        <f>IF(AND($G$73="Yes",$G$18="Intermediate"),1,0)</f>
        <v>1</v>
      </c>
      <c r="M76" s="17"/>
      <c r="N76" s="144">
        <f>IF(AND($G$18="Intermediate",SUM(P76:Z76)=1),1,IF(AND($G$18="Intermediate",SUM(P76:Z76)&lt;&gt;1),2,0))</f>
        <v>1</v>
      </c>
      <c r="O76" s="423" t="str">
        <f t="shared" si="0"/>
        <v>Interconnection</v>
      </c>
      <c r="P76" s="251">
        <v>0</v>
      </c>
      <c r="Q76" s="467">
        <v>0</v>
      </c>
      <c r="R76" s="637">
        <v>1</v>
      </c>
      <c r="S76" s="638"/>
      <c r="T76" s="639"/>
      <c r="U76" s="251">
        <v>0</v>
      </c>
      <c r="V76" s="251">
        <v>0</v>
      </c>
      <c r="W76" s="251">
        <v>0</v>
      </c>
      <c r="X76" s="251">
        <v>0</v>
      </c>
      <c r="Y76" s="251">
        <v>0</v>
      </c>
      <c r="Z76" s="424">
        <v>0</v>
      </c>
      <c r="AB76" s="184" t="s">
        <v>8</v>
      </c>
    </row>
    <row r="77" spans="2:28" ht="16.5" thickBot="1">
      <c r="B77" s="11"/>
      <c r="C77" s="257"/>
      <c r="E77" s="371" t="s">
        <v>232</v>
      </c>
      <c r="F77" s="372"/>
      <c r="G77" s="373" t="s">
        <v>259</v>
      </c>
      <c r="H77" s="172"/>
      <c r="I77" s="13" t="s">
        <v>8</v>
      </c>
      <c r="J77" s="288"/>
      <c r="L77" s="11">
        <f>IF(AND($G$73="Yes",$G$18="Intermediate"),1,0)</f>
        <v>1</v>
      </c>
      <c r="M77" s="17"/>
      <c r="N77" s="144">
        <f>IF(AND($G$18="Intermediate",SUM(P77:Z77)=1),1,IF(AND($G$18="Intermediate",SUM(P77:Z77)&lt;&gt;1),2,0))</f>
        <v>1</v>
      </c>
      <c r="O77" s="423" t="str">
        <f t="shared" si="0"/>
        <v>Development Costs &amp; Fee</v>
      </c>
      <c r="P77" s="251">
        <v>0.8</v>
      </c>
      <c r="Q77" s="467">
        <v>0</v>
      </c>
      <c r="R77" s="637">
        <v>0</v>
      </c>
      <c r="S77" s="638"/>
      <c r="T77" s="639"/>
      <c r="U77" s="251">
        <v>0</v>
      </c>
      <c r="V77" s="251">
        <v>0</v>
      </c>
      <c r="W77" s="251">
        <v>0.05</v>
      </c>
      <c r="X77" s="251">
        <v>0.05</v>
      </c>
      <c r="Y77" s="251">
        <v>0</v>
      </c>
      <c r="Z77" s="424">
        <v>0.1</v>
      </c>
      <c r="AB77" s="184" t="s">
        <v>8</v>
      </c>
    </row>
    <row r="78" spans="2:28" ht="16.5" thickBot="1">
      <c r="B78" s="11"/>
      <c r="E78" s="374" t="s">
        <v>31</v>
      </c>
      <c r="F78" s="375" t="s">
        <v>1</v>
      </c>
      <c r="G78" s="376">
        <f>IF($G$73="Yes",$G$74+(G76*(1-$G$74)),0%)</f>
        <v>0.28505</v>
      </c>
      <c r="H78" s="185"/>
      <c r="I78" s="13" t="s">
        <v>8</v>
      </c>
      <c r="J78" s="288"/>
      <c r="L78" s="11">
        <f>IF(AND($G$73="Yes",$G$18="Intermediate"),1,0)</f>
        <v>1</v>
      </c>
      <c r="M78" s="17"/>
      <c r="N78" s="144">
        <f>IF(AND($G$18="Intermediate",SUM(P78:Z78)=1),1,IF(AND($G$18="Intermediate",SUM(P78:Z78)&lt;&gt;1),2,0))</f>
        <v>1</v>
      </c>
      <c r="O78" s="425" t="str">
        <f t="shared" si="0"/>
        <v>Reserves &amp; Financing Costs</v>
      </c>
      <c r="P78" s="426">
        <v>0</v>
      </c>
      <c r="Q78" s="468">
        <v>0</v>
      </c>
      <c r="R78" s="640">
        <v>0</v>
      </c>
      <c r="S78" s="641"/>
      <c r="T78" s="642"/>
      <c r="U78" s="426">
        <v>0</v>
      </c>
      <c r="V78" s="426">
        <v>0</v>
      </c>
      <c r="W78" s="426">
        <v>0</v>
      </c>
      <c r="X78" s="426">
        <v>0.5</v>
      </c>
      <c r="Y78" s="426">
        <v>0</v>
      </c>
      <c r="Z78" s="427">
        <v>0.5</v>
      </c>
      <c r="AB78" s="184" t="s">
        <v>8</v>
      </c>
    </row>
    <row r="79" spans="2:28" ht="16.5" thickBot="1">
      <c r="B79" s="186"/>
      <c r="C79" s="80"/>
      <c r="D79" s="80"/>
      <c r="E79" s="321" t="s">
        <v>84</v>
      </c>
      <c r="F79" s="275"/>
      <c r="G79" s="377" t="s">
        <v>88</v>
      </c>
      <c r="H79" s="277"/>
      <c r="I79" s="278" t="s">
        <v>8</v>
      </c>
      <c r="J79" s="195"/>
      <c r="L79" s="186">
        <f>IF(AND($G$73="Yes",$G$18="Complex"),1,0)</f>
        <v>0</v>
      </c>
      <c r="M79" s="196"/>
      <c r="N79" s="196"/>
      <c r="O79" s="428" t="s">
        <v>256</v>
      </c>
      <c r="P79" s="429"/>
      <c r="Q79" s="430"/>
      <c r="R79" s="643"/>
      <c r="S79" s="644"/>
      <c r="T79" s="645"/>
      <c r="U79" s="429"/>
      <c r="V79" s="429"/>
      <c r="W79" s="429"/>
      <c r="X79" s="429"/>
      <c r="Y79" s="429"/>
      <c r="Z79" s="431"/>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3"/>
      <c r="B96" s="433"/>
      <c r="C96" s="433"/>
      <c r="D96" s="434"/>
      <c r="E96" s="435"/>
      <c r="F96" s="433"/>
      <c r="G96" s="433"/>
      <c r="H96" s="433"/>
      <c r="I96" s="433"/>
      <c r="J96" s="433"/>
      <c r="K96" s="433"/>
    </row>
    <row r="97" spans="1:11" ht="15">
      <c r="A97" s="433"/>
      <c r="B97" s="433"/>
      <c r="C97" s="433"/>
      <c r="D97" s="433"/>
      <c r="E97" s="436"/>
      <c r="F97" s="433"/>
      <c r="G97" s="437"/>
      <c r="H97" s="433"/>
      <c r="I97" s="433"/>
      <c r="J97" s="433"/>
      <c r="K97" s="433"/>
    </row>
    <row r="98" spans="1:11" ht="15">
      <c r="A98" s="433"/>
      <c r="B98" s="433"/>
      <c r="C98" s="433"/>
      <c r="D98" s="433"/>
      <c r="E98" s="436"/>
      <c r="F98" s="433"/>
      <c r="G98" s="437"/>
      <c r="H98" s="433"/>
      <c r="I98" s="433"/>
      <c r="J98" s="433"/>
      <c r="K98" s="433"/>
    </row>
    <row r="99" spans="1:11" ht="15">
      <c r="A99" s="433"/>
      <c r="B99" s="433"/>
      <c r="C99" s="433"/>
      <c r="D99" s="433"/>
      <c r="E99" s="436"/>
      <c r="F99" s="433"/>
      <c r="G99" s="437"/>
      <c r="H99" s="433"/>
      <c r="I99" s="433"/>
      <c r="J99" s="433"/>
      <c r="K99" s="433"/>
    </row>
    <row r="100" spans="1:11" ht="15">
      <c r="A100" s="433"/>
      <c r="B100" s="433"/>
      <c r="C100" s="433"/>
      <c r="D100" s="433"/>
      <c r="E100" s="436"/>
      <c r="F100" s="433"/>
      <c r="G100" s="437"/>
      <c r="H100" s="433"/>
      <c r="I100" s="433"/>
      <c r="J100" s="433"/>
      <c r="K100" s="433"/>
    </row>
    <row r="101" spans="1:2" ht="15">
      <c r="A101" s="433"/>
      <c r="B101" s="433"/>
    </row>
    <row r="103" spans="12:28" ht="15">
      <c r="L103" s="433"/>
      <c r="M103" s="433"/>
      <c r="N103" s="433"/>
      <c r="O103" s="433"/>
      <c r="P103" s="433"/>
      <c r="Q103" s="433"/>
      <c r="R103" s="433"/>
      <c r="S103" s="433"/>
      <c r="T103" s="433"/>
      <c r="U103" s="433"/>
      <c r="V103" s="433"/>
      <c r="W103" s="433"/>
      <c r="X103" s="433"/>
      <c r="Y103" s="433"/>
      <c r="Z103" s="433"/>
      <c r="AA103" s="433"/>
      <c r="AB103" s="433"/>
    </row>
    <row r="104" spans="12:28" ht="15">
      <c r="L104" s="433"/>
      <c r="M104" s="433"/>
      <c r="N104" s="433"/>
      <c r="O104" s="433"/>
      <c r="P104" s="433"/>
      <c r="Q104" s="433"/>
      <c r="R104" s="433"/>
      <c r="S104" s="433"/>
      <c r="T104" s="433"/>
      <c r="U104" s="433"/>
      <c r="V104" s="433"/>
      <c r="W104" s="433"/>
      <c r="X104" s="433"/>
      <c r="Y104" s="433"/>
      <c r="Z104" s="433"/>
      <c r="AA104" s="433"/>
      <c r="AB104" s="433"/>
    </row>
  </sheetData>
  <sheetProtection/>
  <protectedRanges>
    <protectedRange sqref="P70 P73:Z78" name="Depreciation Inputs"/>
    <protectedRange sqref="Q8:Q10 Q13:Q15 Q57:Q58 Q62 Q65 Q67 Q47 Q38:Q41 Q24:Q25 Q19:Q21 Q33:Q34 Q27:Q30 Q36 Q43:Q45 Q50:Q53" name="Column Q Inputs"/>
    <protectedRange sqref="G5 G51:G55 G46:G47 G58 G62 G64 G73 G8:G11 G14:G15 G30:G36 G38:G42 G18:G23 G77 G75" name="Column G Inputs"/>
    <protectedRange sqref="G76" name="Column G Inputs_2"/>
    <protectedRange sqref="G74" name="Column G Inputs_3"/>
    <protectedRange sqref="P71" name="Depreciation Inputs_2"/>
  </protectedRanges>
  <mergeCells count="10">
    <mergeCell ref="R77:T77"/>
    <mergeCell ref="R78:T78"/>
    <mergeCell ref="R79:T79"/>
    <mergeCell ref="O4:P4"/>
    <mergeCell ref="C2:T2"/>
    <mergeCell ref="R75:T75"/>
    <mergeCell ref="R72:T72"/>
    <mergeCell ref="R73:T73"/>
    <mergeCell ref="R74:T74"/>
    <mergeCell ref="R76:T76"/>
  </mergeCells>
  <conditionalFormatting sqref="C18">
    <cfRule type="expression" priority="572" dxfId="42">
      <formula>$G$18&lt;&gt;""</formula>
    </cfRule>
  </conditionalFormatting>
  <conditionalFormatting sqref="C31">
    <cfRule type="expression" priority="566" dxfId="42">
      <formula>$G$31&gt;=0</formula>
    </cfRule>
  </conditionalFormatting>
  <conditionalFormatting sqref="C19">
    <cfRule type="expression" priority="393" dxfId="42">
      <formula>AND($G$18="Simple",$G$19&gt;0)</formula>
    </cfRule>
    <cfRule type="expression" priority="563" dxfId="9">
      <formula>AND($G$18="Simple",$G$19&lt;=0)</formula>
    </cfRule>
  </conditionalFormatting>
  <conditionalFormatting sqref="C20">
    <cfRule type="expression" priority="392" dxfId="42">
      <formula>AND($G$18="Intermediate",$G$20&gt;0)</formula>
    </cfRule>
    <cfRule type="expression" priority="562" dxfId="9">
      <formula>AND($G$18="Intermediate",$G$20&lt;=0)</formula>
    </cfRule>
  </conditionalFormatting>
  <conditionalFormatting sqref="C74">
    <cfRule type="expression" priority="146" dxfId="10">
      <formula>$G$73="No"</formula>
    </cfRule>
    <cfRule type="expression" priority="147" dxfId="9">
      <formula>$D$74=1</formula>
    </cfRule>
  </conditionalFormatting>
  <conditionalFormatting sqref="C62">
    <cfRule type="expression" priority="384" dxfId="9">
      <formula>$D$62=1</formula>
    </cfRule>
  </conditionalFormatting>
  <conditionalFormatting sqref="L29 G25:H25 K25">
    <cfRule type="expression" priority="726" dxfId="21">
      <formula>$G$18="Complex"</formula>
    </cfRule>
  </conditionalFormatting>
  <conditionalFormatting sqref="C51">
    <cfRule type="expression" priority="386" dxfId="9">
      <formula>$D$51=1</formula>
    </cfRule>
  </conditionalFormatting>
  <conditionalFormatting sqref="M10">
    <cfRule type="expression" priority="409" dxfId="42">
      <formula>$Q$10&lt;&gt;""</formula>
    </cfRule>
  </conditionalFormatting>
  <conditionalFormatting sqref="M9">
    <cfRule type="expression" priority="408" dxfId="42">
      <formula>$Q$9&lt;&gt;""</formula>
    </cfRule>
  </conditionalFormatting>
  <conditionalFormatting sqref="E36:G43">
    <cfRule type="expression" priority="404" dxfId="139">
      <formula>$G$30="Simple"</formula>
    </cfRule>
  </conditionalFormatting>
  <conditionalFormatting sqref="C25">
    <cfRule type="expression" priority="390" dxfId="42">
      <formula>AND($G$18="Complex",$G$25&gt;0)</formula>
    </cfRule>
    <cfRule type="expression" priority="391" dxfId="9">
      <formula>$G$18="Complex"</formula>
    </cfRule>
  </conditionalFormatting>
  <conditionalFormatting sqref="C33">
    <cfRule type="expression" priority="389" dxfId="42">
      <formula>$G$33&gt;0</formula>
    </cfRule>
  </conditionalFormatting>
  <conditionalFormatting sqref="C34">
    <cfRule type="expression" priority="388" dxfId="42">
      <formula>AND($G$34&gt;0,$G$34&lt;=$G$15)</formula>
    </cfRule>
  </conditionalFormatting>
  <conditionalFormatting sqref="C35">
    <cfRule type="expression" priority="387" dxfId="42">
      <formula>$G$35&gt;0</formula>
    </cfRule>
  </conditionalFormatting>
  <conditionalFormatting sqref="G57">
    <cfRule type="expression" priority="371" dxfId="140">
      <formula>$G$57="Fail"</formula>
    </cfRule>
  </conditionalFormatting>
  <conditionalFormatting sqref="O58:Q58 S58">
    <cfRule type="expression" priority="366" dxfId="139">
      <formula>$Q$57="Salvage"</formula>
    </cfRule>
  </conditionalFormatting>
  <conditionalFormatting sqref="E46:G48">
    <cfRule type="expression" priority="344" dxfId="139">
      <formula>$G$18="Simple"</formula>
    </cfRule>
  </conditionalFormatting>
  <conditionalFormatting sqref="G60">
    <cfRule type="expression" priority="312" dxfId="140">
      <formula>$G$60="Fail"</formula>
    </cfRule>
  </conditionalFormatting>
  <conditionalFormatting sqref="G19">
    <cfRule type="expression" priority="276" dxfId="141">
      <formula>$G$18="Simple"</formula>
    </cfRule>
  </conditionalFormatting>
  <conditionalFormatting sqref="G24 E20:F24">
    <cfRule type="expression" priority="275" dxfId="142">
      <formula>$G$18="Intermediate"</formula>
    </cfRule>
  </conditionalFormatting>
  <conditionalFormatting sqref="G20:G23">
    <cfRule type="expression" priority="264" dxfId="141">
      <formula>$G$18="Intermediate"</formula>
    </cfRule>
  </conditionalFormatting>
  <conditionalFormatting sqref="E52:G60 I52:I60">
    <cfRule type="expression" priority="258" dxfId="139">
      <formula>$G$51=0</formula>
    </cfRule>
  </conditionalFormatting>
  <conditionalFormatting sqref="O14:P14">
    <cfRule type="expression" priority="251" dxfId="142">
      <formula>$T$14=1</formula>
    </cfRule>
  </conditionalFormatting>
  <conditionalFormatting sqref="O15:P15">
    <cfRule type="expression" priority="250" dxfId="142">
      <formula>$T$15=1</formula>
    </cfRule>
  </conditionalFormatting>
  <conditionalFormatting sqref="O16">
    <cfRule type="expression" priority="249" dxfId="143">
      <formula>$T$16=1</formula>
    </cfRule>
  </conditionalFormatting>
  <conditionalFormatting sqref="Q14">
    <cfRule type="expression" priority="246" dxfId="141">
      <formula>$T$14=1</formula>
    </cfRule>
  </conditionalFormatting>
  <conditionalFormatting sqref="Q15">
    <cfRule type="expression" priority="245" dxfId="141">
      <formula>$T$15=1</formula>
    </cfRule>
  </conditionalFormatting>
  <conditionalFormatting sqref="P16:Q16">
    <cfRule type="expression" priority="244" dxfId="10">
      <formula>$T$16=1</formula>
    </cfRule>
  </conditionalFormatting>
  <conditionalFormatting sqref="O13:P13">
    <cfRule type="expression" priority="242" dxfId="142">
      <formula>$T$13=1</formula>
    </cfRule>
  </conditionalFormatting>
  <conditionalFormatting sqref="Q13">
    <cfRule type="expression" priority="241" dxfId="144">
      <formula>$T$13=1</formula>
    </cfRule>
  </conditionalFormatting>
  <conditionalFormatting sqref="O23:Q23 S23 O20:Q21 S20:S21">
    <cfRule type="expression" priority="229" dxfId="139">
      <formula>$R$19=1</formula>
    </cfRule>
  </conditionalFormatting>
  <conditionalFormatting sqref="S38:S39 S43:S44 S41 O38:Q39 O43:Q44 O41:Q41">
    <cfRule type="expression" priority="225" dxfId="139">
      <formula>$R$38=1</formula>
    </cfRule>
  </conditionalFormatting>
  <conditionalFormatting sqref="I19">
    <cfRule type="expression" priority="217" dxfId="145">
      <formula>$G$18="Simple"</formula>
    </cfRule>
  </conditionalFormatting>
  <conditionalFormatting sqref="I25">
    <cfRule type="expression" priority="216" dxfId="145">
      <formula>$G$18="Complex"</formula>
    </cfRule>
  </conditionalFormatting>
  <conditionalFormatting sqref="I20:I24">
    <cfRule type="expression" priority="215" dxfId="145">
      <formula>$G$18="Intermediate"</formula>
    </cfRule>
  </conditionalFormatting>
  <conditionalFormatting sqref="I36:I43">
    <cfRule type="expression" priority="214" dxfId="145">
      <formula>$G$30="Intermediate"</formula>
    </cfRule>
  </conditionalFormatting>
  <conditionalFormatting sqref="E19:F19">
    <cfRule type="expression" priority="208" dxfId="142">
      <formula>$G$18="Simple"</formula>
    </cfRule>
  </conditionalFormatting>
  <conditionalFormatting sqref="F25">
    <cfRule type="expression" priority="205" dxfId="142">
      <formula>$G$18="Complex"</formula>
    </cfRule>
  </conditionalFormatting>
  <conditionalFormatting sqref="E25">
    <cfRule type="expression" priority="204" dxfId="143">
      <formula>$G$18="Complex"</formula>
    </cfRule>
  </conditionalFormatting>
  <conditionalFormatting sqref="O40:Q40 S40">
    <cfRule type="expression" priority="2106" dxfId="139">
      <formula>$T$41=1</formula>
    </cfRule>
  </conditionalFormatting>
  <conditionalFormatting sqref="S13">
    <cfRule type="expression" priority="193" dxfId="145">
      <formula>$T$13=1</formula>
    </cfRule>
  </conditionalFormatting>
  <conditionalFormatting sqref="S14">
    <cfRule type="expression" priority="192" dxfId="145">
      <formula>$T$14=1</formula>
    </cfRule>
  </conditionalFormatting>
  <conditionalFormatting sqref="S15">
    <cfRule type="expression" priority="191" dxfId="145">
      <formula>$T$15=1</formula>
    </cfRule>
  </conditionalFormatting>
  <conditionalFormatting sqref="S16">
    <cfRule type="expression" priority="190" dxfId="145">
      <formula>$T$16=1</formula>
    </cfRule>
  </conditionalFormatting>
  <conditionalFormatting sqref="C57">
    <cfRule type="expression" priority="189" dxfId="9">
      <formula>$G$57="Fail"</formula>
    </cfRule>
  </conditionalFormatting>
  <conditionalFormatting sqref="C60">
    <cfRule type="expression" priority="188" dxfId="9">
      <formula>$G$60="Fail"</formula>
    </cfRule>
  </conditionalFormatting>
  <conditionalFormatting sqref="E63:G63">
    <cfRule type="expression" priority="187" dxfId="139">
      <formula>$G$51=0%</formula>
    </cfRule>
  </conditionalFormatting>
  <conditionalFormatting sqref="C12">
    <cfRule type="expression" priority="183" dxfId="9">
      <formula>$D$12=1</formula>
    </cfRule>
  </conditionalFormatting>
  <conditionalFormatting sqref="C14">
    <cfRule type="expression" priority="182" dxfId="9">
      <formula>$D$14=1</formula>
    </cfRule>
  </conditionalFormatting>
  <conditionalFormatting sqref="M8">
    <cfRule type="expression" priority="181" dxfId="9">
      <formula>$N$8=1</formula>
    </cfRule>
  </conditionalFormatting>
  <conditionalFormatting sqref="C30">
    <cfRule type="expression" priority="172" dxfId="42">
      <formula>$G$30&lt;&gt;""</formula>
    </cfRule>
  </conditionalFormatting>
  <conditionalFormatting sqref="C46">
    <cfRule type="expression" priority="153" dxfId="10">
      <formula>$G$18="Simple"</formula>
    </cfRule>
    <cfRule type="expression" priority="171" dxfId="9">
      <formula>$G$46&lt;=0</formula>
    </cfRule>
  </conditionalFormatting>
  <conditionalFormatting sqref="C47">
    <cfRule type="expression" priority="152" dxfId="10">
      <formula>$G$18="Simple"</formula>
    </cfRule>
    <cfRule type="expression" priority="168" dxfId="42">
      <formula>AND($G$18="Intermediate",$G$47&gt;=0)</formula>
    </cfRule>
  </conditionalFormatting>
  <conditionalFormatting sqref="C52">
    <cfRule type="expression" priority="151" dxfId="10">
      <formula>$G$51=0</formula>
    </cfRule>
    <cfRule type="expression" priority="167" dxfId="9">
      <formula>$D$52=1</formula>
    </cfRule>
  </conditionalFormatting>
  <conditionalFormatting sqref="C53">
    <cfRule type="expression" priority="164" dxfId="9">
      <formula>$D$53=1</formula>
    </cfRule>
  </conditionalFormatting>
  <conditionalFormatting sqref="C55">
    <cfRule type="expression" priority="163" dxfId="9">
      <formula>$G$55&lt;1</formula>
    </cfRule>
  </conditionalFormatting>
  <conditionalFormatting sqref="C58">
    <cfRule type="expression" priority="162" dxfId="9">
      <formula>$G$58&lt;1</formula>
    </cfRule>
  </conditionalFormatting>
  <conditionalFormatting sqref="C54">
    <cfRule type="expression" priority="161" dxfId="9">
      <formula>$D$54=1</formula>
    </cfRule>
  </conditionalFormatting>
  <conditionalFormatting sqref="C57:C58 C60 C52:C55">
    <cfRule type="expression" priority="150" dxfId="10">
      <formula>$G$51=0</formula>
    </cfRule>
  </conditionalFormatting>
  <conditionalFormatting sqref="C64">
    <cfRule type="expression" priority="149" dxfId="9">
      <formula>$G$64&lt;0</formula>
    </cfRule>
  </conditionalFormatting>
  <conditionalFormatting sqref="C73">
    <cfRule type="expression" priority="148" dxfId="9">
      <formula>$G$73=""</formula>
    </cfRule>
  </conditionalFormatting>
  <conditionalFormatting sqref="C76">
    <cfRule type="expression" priority="139" dxfId="10">
      <formula>$G$73="No"</formula>
    </cfRule>
    <cfRule type="expression" priority="140" dxfId="9">
      <formula>$D$76=1</formula>
    </cfRule>
  </conditionalFormatting>
  <conditionalFormatting sqref="C75">
    <cfRule type="expression" priority="138" dxfId="9">
      <formula>$G$75=""</formula>
    </cfRule>
  </conditionalFormatting>
  <conditionalFormatting sqref="C77">
    <cfRule type="expression" priority="137" dxfId="9">
      <formula>$G$77=""</formula>
    </cfRule>
  </conditionalFormatting>
  <conditionalFormatting sqref="M13">
    <cfRule type="expression" priority="135" dxfId="9">
      <formula>$Q$13=""</formula>
    </cfRule>
  </conditionalFormatting>
  <conditionalFormatting sqref="M14">
    <cfRule type="expression" priority="134" dxfId="9">
      <formula>$N$14=1</formula>
    </cfRule>
  </conditionalFormatting>
  <conditionalFormatting sqref="M15">
    <cfRule type="expression" priority="133" dxfId="9">
      <formula>$N$15=1</formula>
    </cfRule>
  </conditionalFormatting>
  <conditionalFormatting sqref="M19">
    <cfRule type="expression" priority="132" dxfId="9">
      <formula>$Q$19=""</formula>
    </cfRule>
  </conditionalFormatting>
  <conditionalFormatting sqref="M20">
    <cfRule type="expression" priority="131" dxfId="9">
      <formula>$Q$20=""</formula>
    </cfRule>
  </conditionalFormatting>
  <conditionalFormatting sqref="M24">
    <cfRule type="expression" priority="130" dxfId="9">
      <formula>$Q$24=""</formula>
    </cfRule>
  </conditionalFormatting>
  <conditionalFormatting sqref="M21 M52 M57 M50 M47 M30 M33:M34 M38">
    <cfRule type="expression" priority="129" dxfId="9">
      <formula>$N21=1</formula>
    </cfRule>
  </conditionalFormatting>
  <conditionalFormatting sqref="M25">
    <cfRule type="expression" priority="121" dxfId="9">
      <formula>$Q$25&lt;0</formula>
    </cfRule>
  </conditionalFormatting>
  <conditionalFormatting sqref="M27">
    <cfRule type="expression" priority="120" dxfId="9">
      <formula>$N$27=1</formula>
    </cfRule>
  </conditionalFormatting>
  <conditionalFormatting sqref="M28">
    <cfRule type="expression" priority="119" dxfId="9">
      <formula>$Q$28=""</formula>
    </cfRule>
  </conditionalFormatting>
  <conditionalFormatting sqref="M62 M65 M45 M29">
    <cfRule type="expression" priority="117" dxfId="9">
      <formula>$Q29&lt;0</formula>
    </cfRule>
  </conditionalFormatting>
  <conditionalFormatting sqref="M36">
    <cfRule type="expression" priority="113" dxfId="9">
      <formula>$N$36=1</formula>
    </cfRule>
  </conditionalFormatting>
  <conditionalFormatting sqref="M41">
    <cfRule type="expression" priority="112" dxfId="9">
      <formula>$Q$41&lt;0</formula>
    </cfRule>
  </conditionalFormatting>
  <conditionalFormatting sqref="M43">
    <cfRule type="expression" priority="111" dxfId="9">
      <formula>$N$43=1</formula>
    </cfRule>
  </conditionalFormatting>
  <conditionalFormatting sqref="M44">
    <cfRule type="expression" priority="110" dxfId="9">
      <formula>$Q$44=""</formula>
    </cfRule>
  </conditionalFormatting>
  <conditionalFormatting sqref="M51 M53">
    <cfRule type="expression" priority="106" dxfId="42">
      <formula>$Q51&gt;0</formula>
    </cfRule>
  </conditionalFormatting>
  <conditionalFormatting sqref="M58">
    <cfRule type="expression" priority="94" dxfId="10">
      <formula>$Q$57="Salvage"</formula>
    </cfRule>
    <cfRule type="expression" priority="104" dxfId="9">
      <formula>$Q$58&lt;0</formula>
    </cfRule>
  </conditionalFormatting>
  <conditionalFormatting sqref="M67">
    <cfRule type="expression" priority="101" dxfId="9">
      <formula>$Q$67&lt;0</formula>
    </cfRule>
  </conditionalFormatting>
  <conditionalFormatting sqref="M27:M28 M24:M25">
    <cfRule type="expression" priority="98" dxfId="10">
      <formula>$Q$19="Cost-Based"</formula>
    </cfRule>
  </conditionalFormatting>
  <conditionalFormatting sqref="M73">
    <cfRule type="expression" priority="90" dxfId="9">
      <formula>$N$73=2</formula>
    </cfRule>
    <cfRule type="expression" priority="91" dxfId="42">
      <formula>$N$73=1</formula>
    </cfRule>
  </conditionalFormatting>
  <conditionalFormatting sqref="M74:M78">
    <cfRule type="expression" priority="86" dxfId="9">
      <formula>$N74=2</formula>
    </cfRule>
    <cfRule type="expression" priority="87" dxfId="42">
      <formula>$N74=1</formula>
    </cfRule>
  </conditionalFormatting>
  <conditionalFormatting sqref="AB73:AB79 O73:R78 U73:Z78">
    <cfRule type="expression" priority="85" dxfId="139">
      <formula>$L73=0</formula>
    </cfRule>
  </conditionalFormatting>
  <conditionalFormatting sqref="O79:R79 U79:Z79">
    <cfRule type="expression" priority="80" dxfId="139">
      <formula>$L$79=0</formula>
    </cfRule>
  </conditionalFormatting>
  <conditionalFormatting sqref="C5">
    <cfRule type="expression" priority="79" dxfId="9">
      <formula>$G$5=""</formula>
    </cfRule>
  </conditionalFormatting>
  <conditionalFormatting sqref="C21:C23">
    <cfRule type="expression" priority="78" dxfId="9">
      <formula>$G21&lt;0</formula>
    </cfRule>
  </conditionalFormatting>
  <conditionalFormatting sqref="C36 C38:C42">
    <cfRule type="expression" priority="75" dxfId="10">
      <formula>$G$30="Simple"</formula>
    </cfRule>
  </conditionalFormatting>
  <conditionalFormatting sqref="C36 C38:C39 C41:C42">
    <cfRule type="expression" priority="72" dxfId="9">
      <formula>$G36&lt;0</formula>
    </cfRule>
    <cfRule type="expression" priority="73" dxfId="9">
      <formula>$G36&lt;0</formula>
    </cfRule>
  </conditionalFormatting>
  <conditionalFormatting sqref="C40">
    <cfRule type="expression" priority="61" dxfId="9">
      <formula>$G$40=""</formula>
    </cfRule>
  </conditionalFormatting>
  <conditionalFormatting sqref="C32">
    <cfRule type="expression" priority="60" dxfId="9">
      <formula>$G$32&lt;0</formula>
    </cfRule>
  </conditionalFormatting>
  <conditionalFormatting sqref="C15">
    <cfRule type="expression" priority="59" dxfId="9">
      <formula>$D$15=1</formula>
    </cfRule>
  </conditionalFormatting>
  <conditionalFormatting sqref="E75:G75 I74:I79 E77:G79 E76:F76 E74:F74">
    <cfRule type="expression" priority="2364" dxfId="139">
      <formula>$G$73="No"</formula>
    </cfRule>
  </conditionalFormatting>
  <conditionalFormatting sqref="I57 I60">
    <cfRule type="expression" priority="47" dxfId="28">
      <formula>$G57="Fail"</formula>
    </cfRule>
  </conditionalFormatting>
  <conditionalFormatting sqref="E57">
    <cfRule type="expression" priority="42" dxfId="28">
      <formula>$G$57="Fail"</formula>
    </cfRule>
  </conditionalFormatting>
  <conditionalFormatting sqref="E60">
    <cfRule type="expression" priority="41" dxfId="28">
      <formula>$G$60="Fail"</formula>
    </cfRule>
  </conditionalFormatting>
  <conditionalFormatting sqref="M71">
    <cfRule type="expression" priority="26" dxfId="10">
      <formula>$P$70="No"</formula>
    </cfRule>
    <cfRule type="expression" priority="27" dxfId="9">
      <formula>$P$71&lt;0</formula>
    </cfRule>
  </conditionalFormatting>
  <conditionalFormatting sqref="O71 S71">
    <cfRule type="expression" priority="25" dxfId="139">
      <formula>$P$70="No"</formula>
    </cfRule>
  </conditionalFormatting>
  <conditionalFormatting sqref="M70">
    <cfRule type="expression" priority="23" dxfId="9">
      <formula>$P$70=""</formula>
    </cfRule>
  </conditionalFormatting>
  <conditionalFormatting sqref="M13:M15">
    <cfRule type="expression" priority="3193" dxfId="10">
      <formula>$G$15=$Q$8</formula>
    </cfRule>
  </conditionalFormatting>
  <conditionalFormatting sqref="L24 K19">
    <cfRule type="expression" priority="3194" dxfId="146">
      <formula>$G$18="Simple"</formula>
    </cfRule>
  </conditionalFormatting>
  <conditionalFormatting sqref="L27:L28 L25 K20:K24">
    <cfRule type="expression" priority="3196" dxfId="146">
      <formula>$G$18="Intermediate"</formula>
    </cfRule>
  </conditionalFormatting>
  <conditionalFormatting sqref="C9">
    <cfRule type="expression" priority="20" dxfId="9">
      <formula>$G$9=""</formula>
    </cfRule>
  </conditionalFormatting>
  <conditionalFormatting sqref="I10 E10:G10">
    <cfRule type="expression" priority="19" dxfId="139">
      <formula>$G$9="Custom"</formula>
    </cfRule>
  </conditionalFormatting>
  <conditionalFormatting sqref="C10">
    <cfRule type="expression" priority="18" dxfId="9">
      <formula>$G$10=""</formula>
    </cfRule>
  </conditionalFormatting>
  <conditionalFormatting sqref="C11">
    <cfRule type="expression" priority="17" dxfId="9">
      <formula>$G$11=""</formula>
    </cfRule>
  </conditionalFormatting>
  <conditionalFormatting sqref="E11:G11 I11">
    <cfRule type="expression" priority="16" dxfId="139">
      <formula>$G$9="State Average"</formula>
    </cfRule>
  </conditionalFormatting>
  <conditionalFormatting sqref="O39:Q39 O43:Q44 O41:Q41">
    <cfRule type="expression" priority="3221" dxfId="139">
      <formula>$Q$38="No"</formula>
    </cfRule>
  </conditionalFormatting>
  <conditionalFormatting sqref="E12:F12 I12">
    <cfRule type="expression" priority="12" dxfId="139">
      <formula>$G$9="custom"</formula>
    </cfRule>
  </conditionalFormatting>
  <conditionalFormatting sqref="S36:S37 O36:Q37 S34 O34:Q34">
    <cfRule type="expression" priority="4702" dxfId="139">
      <formula>$R$34=1</formula>
    </cfRule>
  </conditionalFormatting>
  <conditionalFormatting sqref="M36 M34">
    <cfRule type="expression" priority="4767" dxfId="10">
      <formula>$Q$33="Performance-Based"</formula>
    </cfRule>
  </conditionalFormatting>
  <conditionalFormatting sqref="M38 M43:M44 M41">
    <cfRule type="expression" priority="4805" dxfId="10">
      <formula>$Q$33="Cost-Based"</formula>
    </cfRule>
  </conditionalFormatting>
  <conditionalFormatting sqref="M40">
    <cfRule type="expression" priority="4949" dxfId="10">
      <formula>$Q$38="Tax Credit"</formula>
    </cfRule>
    <cfRule type="expression" priority="4950" dxfId="9">
      <formula>$Q40=""</formula>
    </cfRule>
  </conditionalFormatting>
  <conditionalFormatting sqref="O42:Q42">
    <cfRule type="expression" priority="11" dxfId="139">
      <formula>$R$38=1</formula>
    </cfRule>
  </conditionalFormatting>
  <conditionalFormatting sqref="O42:Q42">
    <cfRule type="expression" priority="10" dxfId="139">
      <formula>$Q$38="No"</formula>
    </cfRule>
  </conditionalFormatting>
  <conditionalFormatting sqref="O35:Q35">
    <cfRule type="expression" priority="9" dxfId="139">
      <formula>$R$34=1</formula>
    </cfRule>
  </conditionalFormatting>
  <conditionalFormatting sqref="O22:Q22">
    <cfRule type="expression" priority="8" dxfId="139">
      <formula>$R$19=1</formula>
    </cfRule>
  </conditionalFormatting>
  <conditionalFormatting sqref="O24:Q28 S24:S25 S27:S28">
    <cfRule type="expression" priority="6" dxfId="139">
      <formula>OR($R$19=2,$Q$19="Neither")</formula>
    </cfRule>
  </conditionalFormatting>
  <conditionalFormatting sqref="G62">
    <cfRule type="expression" priority="4" dxfId="139">
      <formula>$G$30="Simple"</formula>
    </cfRule>
  </conditionalFormatting>
  <conditionalFormatting sqref="G76">
    <cfRule type="expression" priority="3" dxfId="139">
      <formula>$G$73="No"</formula>
    </cfRule>
  </conditionalFormatting>
  <conditionalFormatting sqref="G74">
    <cfRule type="expression" priority="2" dxfId="139">
      <formula>$G$73="No"</formula>
    </cfRule>
  </conditionalFormatting>
  <conditionalFormatting sqref="P71">
    <cfRule type="expression" priority="1" dxfId="139">
      <formula>$P$70="No"</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1"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GridLines="0" zoomScale="80" zoomScaleNormal="80" zoomScalePageLayoutView="0" workbookViewId="0" topLeftCell="A1">
      <selection activeCell="H17" sqref="H17"/>
    </sheetView>
  </sheetViews>
  <sheetFormatPr defaultColWidth="9.140625" defaultRowHeight="15"/>
  <cols>
    <col min="2" max="2" width="37.00390625" style="0" bestFit="1" customWidth="1"/>
    <col min="3" max="3" width="18.28125" style="478" customWidth="1"/>
    <col min="4" max="4" width="11.140625" style="478" customWidth="1"/>
    <col min="5" max="5" width="11.140625" style="538" customWidth="1"/>
    <col min="6" max="6" width="11.140625" style="478" customWidth="1"/>
    <col min="7" max="7" width="36.57421875" style="0" bestFit="1" customWidth="1"/>
    <col min="8" max="8" width="10.8515625" style="0" bestFit="1" customWidth="1"/>
    <col min="9" max="11" width="2.140625" style="0" customWidth="1"/>
    <col min="12" max="12" width="41.8515625" style="0" bestFit="1" customWidth="1"/>
    <col min="13" max="13" width="12.140625" style="0" customWidth="1"/>
    <col min="14" max="14" width="10.8515625" style="0" customWidth="1"/>
    <col min="15" max="15" width="10.00390625" style="0" customWidth="1"/>
    <col min="16" max="16" width="14.7109375" style="0" customWidth="1"/>
    <col min="17" max="17" width="13.140625" style="0" customWidth="1"/>
    <col min="18" max="18" width="14.28125" style="0" customWidth="1"/>
    <col min="20" max="26" width="9.140625" style="14" customWidth="1"/>
  </cols>
  <sheetData>
    <row r="1" spans="3:6" ht="15">
      <c r="C1" s="598"/>
      <c r="D1" s="598"/>
      <c r="E1" s="598"/>
      <c r="F1" s="598"/>
    </row>
    <row r="2" spans="2:26" ht="15">
      <c r="B2" s="479" t="s">
        <v>317</v>
      </c>
      <c r="C2" s="480" t="s">
        <v>316</v>
      </c>
      <c r="D2" s="493"/>
      <c r="E2"/>
      <c r="F2"/>
      <c r="G2" s="611" t="s">
        <v>339</v>
      </c>
      <c r="H2" s="612"/>
      <c r="J2" s="14"/>
      <c r="K2" s="657"/>
      <c r="L2" s="657"/>
      <c r="M2" s="14"/>
      <c r="N2" s="14"/>
      <c r="O2" s="14"/>
      <c r="P2" s="14"/>
      <c r="T2"/>
      <c r="U2"/>
      <c r="V2"/>
      <c r="W2"/>
      <c r="X2"/>
      <c r="Y2"/>
      <c r="Z2"/>
    </row>
    <row r="3" spans="2:26" ht="15">
      <c r="B3" s="599" t="s">
        <v>29</v>
      </c>
      <c r="C3" s="597" t="s">
        <v>335</v>
      </c>
      <c r="D3" s="600">
        <v>2000</v>
      </c>
      <c r="E3"/>
      <c r="F3"/>
      <c r="G3" s="621" t="s">
        <v>394</v>
      </c>
      <c r="H3" s="633">
        <v>2000</v>
      </c>
      <c r="K3" s="14"/>
      <c r="L3" s="14"/>
      <c r="M3" s="14"/>
      <c r="N3" s="14"/>
      <c r="O3" s="14"/>
      <c r="P3" s="14"/>
      <c r="Q3" s="14"/>
      <c r="T3"/>
      <c r="U3"/>
      <c r="V3"/>
      <c r="W3"/>
      <c r="X3"/>
      <c r="Y3"/>
      <c r="Z3"/>
    </row>
    <row r="4" spans="2:26" ht="15">
      <c r="B4" s="599" t="s">
        <v>29</v>
      </c>
      <c r="C4" s="597" t="s">
        <v>334</v>
      </c>
      <c r="D4" s="601">
        <f>D3/$D$7</f>
        <v>2666.6666666666665</v>
      </c>
      <c r="E4"/>
      <c r="F4"/>
      <c r="G4" s="599" t="s">
        <v>146</v>
      </c>
      <c r="H4" s="620">
        <v>2422452.334691608</v>
      </c>
      <c r="K4" s="14"/>
      <c r="L4" s="14"/>
      <c r="M4" s="14"/>
      <c r="N4" s="14"/>
      <c r="O4" s="14"/>
      <c r="P4" s="14"/>
      <c r="Q4" s="14"/>
      <c r="T4"/>
      <c r="U4"/>
      <c r="V4"/>
      <c r="W4"/>
      <c r="X4"/>
      <c r="Y4"/>
      <c r="Z4"/>
    </row>
    <row r="5" spans="2:26" ht="15">
      <c r="B5" s="602"/>
      <c r="C5" s="14"/>
      <c r="D5" s="600"/>
      <c r="F5"/>
      <c r="G5" s="599" t="s">
        <v>147</v>
      </c>
      <c r="H5" s="620">
        <v>1096642.4819198535</v>
      </c>
      <c r="I5" s="14"/>
      <c r="J5" s="14"/>
      <c r="K5" s="14"/>
      <c r="L5" s="14"/>
      <c r="M5" s="14"/>
      <c r="N5" s="14"/>
      <c r="T5"/>
      <c r="U5"/>
      <c r="V5"/>
      <c r="W5"/>
      <c r="X5"/>
      <c r="Y5"/>
      <c r="Z5"/>
    </row>
    <row r="6" spans="2:26" ht="15">
      <c r="B6" s="603" t="s">
        <v>360</v>
      </c>
      <c r="C6" s="597" t="s">
        <v>393</v>
      </c>
      <c r="D6" s="624">
        <v>0.155</v>
      </c>
      <c r="F6"/>
      <c r="G6" s="599" t="s">
        <v>148</v>
      </c>
      <c r="H6" s="620">
        <v>279044.61779311934</v>
      </c>
      <c r="I6" s="14"/>
      <c r="J6" s="14"/>
      <c r="K6" s="14"/>
      <c r="L6" s="14"/>
      <c r="M6" s="14"/>
      <c r="N6" s="14"/>
      <c r="T6"/>
      <c r="U6"/>
      <c r="V6"/>
      <c r="W6"/>
      <c r="X6"/>
      <c r="Y6"/>
      <c r="Z6"/>
    </row>
    <row r="7" spans="2:26" ht="15">
      <c r="B7" s="599" t="s">
        <v>336</v>
      </c>
      <c r="C7" s="597"/>
      <c r="D7" s="618">
        <v>0.75</v>
      </c>
      <c r="F7"/>
      <c r="G7" s="608" t="s">
        <v>149</v>
      </c>
      <c r="H7" s="622">
        <v>1057961.5447641273</v>
      </c>
      <c r="I7" s="14"/>
      <c r="J7" s="14"/>
      <c r="K7" s="14"/>
      <c r="L7" s="14"/>
      <c r="M7" s="14"/>
      <c r="N7" s="14"/>
      <c r="T7"/>
      <c r="U7"/>
      <c r="V7"/>
      <c r="W7"/>
      <c r="X7"/>
      <c r="Y7"/>
      <c r="Z7"/>
    </row>
    <row r="8" spans="2:26" ht="15">
      <c r="B8" s="602"/>
      <c r="C8" s="14"/>
      <c r="D8" s="600"/>
      <c r="F8" s="25"/>
      <c r="G8" s="25"/>
      <c r="H8" s="25"/>
      <c r="I8" s="25"/>
      <c r="J8" s="25"/>
      <c r="M8" s="14"/>
      <c r="N8" s="14"/>
      <c r="O8" s="14"/>
      <c r="P8" s="14"/>
      <c r="Q8" s="14"/>
      <c r="R8" s="14"/>
      <c r="S8" s="14"/>
      <c r="T8"/>
      <c r="U8"/>
      <c r="V8"/>
      <c r="W8"/>
      <c r="X8"/>
      <c r="Y8"/>
      <c r="Z8"/>
    </row>
    <row r="9" spans="2:26" ht="15">
      <c r="B9" s="599" t="s">
        <v>323</v>
      </c>
      <c r="C9" s="597" t="s">
        <v>1</v>
      </c>
      <c r="D9" s="619">
        <f>'CREST Inputs'!G63</f>
        <v>0.08635848186490294</v>
      </c>
      <c r="F9" s="524"/>
      <c r="G9" s="486"/>
      <c r="H9" s="524"/>
      <c r="I9" s="524"/>
      <c r="J9" s="524"/>
      <c r="M9" s="14"/>
      <c r="N9" s="14"/>
      <c r="O9" s="14"/>
      <c r="P9" s="14"/>
      <c r="Q9" s="14"/>
      <c r="R9" s="14"/>
      <c r="S9" s="14"/>
      <c r="T9"/>
      <c r="U9"/>
      <c r="V9"/>
      <c r="W9"/>
      <c r="X9"/>
      <c r="Y9"/>
      <c r="Z9"/>
    </row>
    <row r="10" spans="2:26" ht="15">
      <c r="B10" s="599" t="s">
        <v>324</v>
      </c>
      <c r="C10" s="597" t="s">
        <v>1</v>
      </c>
      <c r="D10" s="623">
        <v>0.02</v>
      </c>
      <c r="F10" s="524"/>
      <c r="G10" s="613" t="s">
        <v>341</v>
      </c>
      <c r="H10" s="614">
        <v>0.04</v>
      </c>
      <c r="I10" s="524"/>
      <c r="J10" s="524"/>
      <c r="M10" s="14"/>
      <c r="N10" s="14"/>
      <c r="O10" s="14"/>
      <c r="P10" s="14"/>
      <c r="Q10" s="14"/>
      <c r="R10" s="14"/>
      <c r="S10" s="14"/>
      <c r="T10"/>
      <c r="U10"/>
      <c r="V10"/>
      <c r="W10"/>
      <c r="X10"/>
      <c r="Y10"/>
      <c r="Z10"/>
    </row>
    <row r="11" spans="2:26" ht="15">
      <c r="B11" s="602"/>
      <c r="C11" s="14"/>
      <c r="D11" s="605"/>
      <c r="F11" s="524"/>
      <c r="G11" s="599" t="s">
        <v>342</v>
      </c>
      <c r="H11" s="605">
        <v>2017</v>
      </c>
      <c r="I11" s="524"/>
      <c r="J11" s="524"/>
      <c r="M11" s="14"/>
      <c r="N11" s="14"/>
      <c r="O11" s="14"/>
      <c r="P11" s="14"/>
      <c r="Q11" s="14"/>
      <c r="R11" s="14"/>
      <c r="S11" s="14"/>
      <c r="T11"/>
      <c r="U11"/>
      <c r="V11"/>
      <c r="W11"/>
      <c r="X11"/>
      <c r="Y11"/>
      <c r="Z11"/>
    </row>
    <row r="12" spans="2:26" ht="15">
      <c r="B12" s="599" t="s">
        <v>364</v>
      </c>
      <c r="C12" s="597" t="s">
        <v>365</v>
      </c>
      <c r="D12" s="606">
        <v>6000</v>
      </c>
      <c r="F12" s="524"/>
      <c r="G12" s="608" t="s">
        <v>343</v>
      </c>
      <c r="H12" s="615">
        <v>2019</v>
      </c>
      <c r="I12" s="524"/>
      <c r="J12" s="524"/>
      <c r="M12" s="14"/>
      <c r="N12" s="14"/>
      <c r="O12" s="14"/>
      <c r="P12" s="14"/>
      <c r="Q12" s="14"/>
      <c r="R12" s="14"/>
      <c r="S12" s="14"/>
      <c r="T12"/>
      <c r="U12"/>
      <c r="V12"/>
      <c r="W12"/>
      <c r="X12"/>
      <c r="Y12"/>
      <c r="Z12"/>
    </row>
    <row r="13" spans="2:26" ht="15">
      <c r="B13" s="599" t="s">
        <v>364</v>
      </c>
      <c r="C13" s="597" t="s">
        <v>366</v>
      </c>
      <c r="D13" s="607">
        <f>D12/1000</f>
        <v>6</v>
      </c>
      <c r="E13"/>
      <c r="F13"/>
      <c r="M13" s="14"/>
      <c r="N13" s="14"/>
      <c r="O13" s="14"/>
      <c r="P13" s="14"/>
      <c r="Q13" s="14"/>
      <c r="R13" s="14"/>
      <c r="S13" s="14"/>
      <c r="T13"/>
      <c r="U13"/>
      <c r="V13"/>
      <c r="W13"/>
      <c r="X13"/>
      <c r="Y13"/>
      <c r="Z13"/>
    </row>
    <row r="14" spans="2:26" ht="15">
      <c r="B14" s="599"/>
      <c r="C14" s="597"/>
      <c r="D14" s="605"/>
      <c r="E14"/>
      <c r="F14"/>
      <c r="M14" s="14"/>
      <c r="N14" s="14"/>
      <c r="O14" s="14"/>
      <c r="P14" s="14"/>
      <c r="Q14" s="14"/>
      <c r="R14" s="14"/>
      <c r="S14" s="14"/>
      <c r="T14"/>
      <c r="U14"/>
      <c r="V14"/>
      <c r="W14"/>
      <c r="X14"/>
      <c r="Y14"/>
      <c r="Z14"/>
    </row>
    <row r="15" spans="2:26" ht="15">
      <c r="B15" s="599" t="s">
        <v>268</v>
      </c>
      <c r="C15" s="597" t="s">
        <v>361</v>
      </c>
      <c r="D15" s="605">
        <v>1000</v>
      </c>
      <c r="E15"/>
      <c r="F15"/>
      <c r="L15" s="14"/>
      <c r="M15" s="14"/>
      <c r="N15" s="14"/>
      <c r="O15" s="14"/>
      <c r="P15" s="14"/>
      <c r="Q15" s="14"/>
      <c r="R15" s="14"/>
      <c r="T15"/>
      <c r="U15"/>
      <c r="V15"/>
      <c r="W15"/>
      <c r="X15"/>
      <c r="Y15"/>
      <c r="Z15"/>
    </row>
    <row r="16" spans="2:26" ht="15">
      <c r="B16" s="599" t="s">
        <v>268</v>
      </c>
      <c r="C16" s="597" t="s">
        <v>337</v>
      </c>
      <c r="D16" s="605">
        <v>5</v>
      </c>
      <c r="E16"/>
      <c r="F16"/>
      <c r="L16" s="14"/>
      <c r="M16" s="14"/>
      <c r="N16" s="14"/>
      <c r="O16" s="14"/>
      <c r="P16" s="14"/>
      <c r="Q16" s="14"/>
      <c r="R16" s="14"/>
      <c r="T16"/>
      <c r="U16"/>
      <c r="V16"/>
      <c r="W16"/>
      <c r="X16"/>
      <c r="Y16"/>
      <c r="Z16"/>
    </row>
    <row r="17" spans="2:26" ht="15">
      <c r="B17" s="599"/>
      <c r="C17" s="597"/>
      <c r="D17" s="605"/>
      <c r="E17"/>
      <c r="F17"/>
      <c r="L17" s="14"/>
      <c r="M17" s="14"/>
      <c r="N17" s="14"/>
      <c r="O17" s="14"/>
      <c r="P17" s="14"/>
      <c r="Q17" s="14"/>
      <c r="R17" s="14"/>
      <c r="T17"/>
      <c r="U17"/>
      <c r="V17"/>
      <c r="W17"/>
      <c r="X17"/>
      <c r="Y17"/>
      <c r="Z17"/>
    </row>
    <row r="18" spans="2:26" ht="15">
      <c r="B18" s="599" t="s">
        <v>362</v>
      </c>
      <c r="C18" s="597" t="s">
        <v>1</v>
      </c>
      <c r="D18" s="604">
        <v>0.2</v>
      </c>
      <c r="E18"/>
      <c r="F18"/>
      <c r="G18" s="510"/>
      <c r="H18" s="510"/>
      <c r="L18" s="14"/>
      <c r="M18" s="14"/>
      <c r="N18" s="14"/>
      <c r="O18" s="14"/>
      <c r="P18" s="14"/>
      <c r="Q18" s="14"/>
      <c r="R18" s="14"/>
      <c r="T18"/>
      <c r="U18"/>
      <c r="V18"/>
      <c r="W18"/>
      <c r="X18"/>
      <c r="Y18"/>
      <c r="Z18"/>
    </row>
    <row r="19" spans="2:26" ht="15">
      <c r="B19" s="608" t="s">
        <v>363</v>
      </c>
      <c r="C19" s="609" t="s">
        <v>1</v>
      </c>
      <c r="D19" s="610">
        <f>1-D18</f>
        <v>0.8</v>
      </c>
      <c r="E19"/>
      <c r="F19"/>
      <c r="G19" s="519"/>
      <c r="H19" s="519"/>
      <c r="L19" s="14"/>
      <c r="M19" s="14"/>
      <c r="N19" s="14"/>
      <c r="O19" s="14"/>
      <c r="P19" s="14"/>
      <c r="Q19" s="14"/>
      <c r="R19" s="14"/>
      <c r="T19"/>
      <c r="U19"/>
      <c r="V19"/>
      <c r="W19"/>
      <c r="X19"/>
      <c r="Y19"/>
      <c r="Z19"/>
    </row>
    <row r="20" spans="4:26" ht="15">
      <c r="D20"/>
      <c r="E20"/>
      <c r="F20"/>
      <c r="G20" s="519"/>
      <c r="H20" s="519"/>
      <c r="L20" s="14"/>
      <c r="M20" s="14"/>
      <c r="N20" s="14"/>
      <c r="O20" s="14"/>
      <c r="P20" s="14"/>
      <c r="Q20" s="14"/>
      <c r="R20" s="14"/>
      <c r="T20"/>
      <c r="U20"/>
      <c r="V20"/>
      <c r="W20"/>
      <c r="X20"/>
      <c r="Y20"/>
      <c r="Z20"/>
    </row>
    <row r="21" spans="2:26" ht="15">
      <c r="B21" s="486"/>
      <c r="D21"/>
      <c r="E21"/>
      <c r="F21"/>
      <c r="G21" s="519"/>
      <c r="H21" s="519"/>
      <c r="L21" s="14"/>
      <c r="M21" s="14"/>
      <c r="N21" s="14"/>
      <c r="O21" s="14"/>
      <c r="P21" s="14"/>
      <c r="Q21" s="14"/>
      <c r="R21" s="14"/>
      <c r="T21"/>
      <c r="U21"/>
      <c r="V21"/>
      <c r="W21"/>
      <c r="X21"/>
      <c r="Y21"/>
      <c r="Z21"/>
    </row>
    <row r="22" spans="2:26" ht="15">
      <c r="B22" s="486"/>
      <c r="E22"/>
      <c r="F22"/>
      <c r="G22" s="519"/>
      <c r="H22" s="519"/>
      <c r="L22" s="14"/>
      <c r="M22" s="14"/>
      <c r="N22" s="14"/>
      <c r="O22" s="14"/>
      <c r="P22" s="14"/>
      <c r="Q22" s="14"/>
      <c r="R22" s="14"/>
      <c r="T22"/>
      <c r="U22"/>
      <c r="V22"/>
      <c r="W22"/>
      <c r="X22"/>
      <c r="Y22"/>
      <c r="Z22"/>
    </row>
    <row r="23" spans="2:26" ht="15">
      <c r="B23" s="486"/>
      <c r="E23"/>
      <c r="F23"/>
      <c r="G23" s="519"/>
      <c r="H23" s="519"/>
      <c r="L23" s="14"/>
      <c r="M23" s="14"/>
      <c r="N23" s="14"/>
      <c r="O23" s="14"/>
      <c r="P23" s="14"/>
      <c r="Q23" s="14"/>
      <c r="R23" s="14"/>
      <c r="T23"/>
      <c r="U23"/>
      <c r="V23"/>
      <c r="W23"/>
      <c r="X23"/>
      <c r="Y23"/>
      <c r="Z23"/>
    </row>
    <row r="24" spans="2:26" ht="15">
      <c r="B24" s="486"/>
      <c r="E24"/>
      <c r="F24"/>
      <c r="G24" s="519"/>
      <c r="H24" s="519"/>
      <c r="L24" s="14"/>
      <c r="M24" s="14"/>
      <c r="N24" s="14"/>
      <c r="O24" s="14"/>
      <c r="P24" s="14"/>
      <c r="Q24" s="14"/>
      <c r="R24" s="14"/>
      <c r="T24"/>
      <c r="U24"/>
      <c r="V24"/>
      <c r="W24"/>
      <c r="X24"/>
      <c r="Y24"/>
      <c r="Z24"/>
    </row>
    <row r="25" spans="4:26" ht="15">
      <c r="D25" s="501"/>
      <c r="E25"/>
      <c r="F25"/>
      <c r="L25" s="14"/>
      <c r="M25" s="14"/>
      <c r="N25" s="14"/>
      <c r="O25" s="14"/>
      <c r="P25" s="14"/>
      <c r="Q25" s="14"/>
      <c r="R25" s="14"/>
      <c r="T25"/>
      <c r="U25"/>
      <c r="V25"/>
      <c r="W25"/>
      <c r="X25"/>
      <c r="Y25"/>
      <c r="Z25"/>
    </row>
    <row r="26" spans="5:26" ht="15">
      <c r="E26"/>
      <c r="F26"/>
      <c r="L26" s="14"/>
      <c r="M26" s="14"/>
      <c r="N26" s="14"/>
      <c r="O26" s="14"/>
      <c r="P26" s="14"/>
      <c r="Q26" s="14"/>
      <c r="R26" s="14"/>
      <c r="T26"/>
      <c r="U26"/>
      <c r="V26"/>
      <c r="W26"/>
      <c r="X26"/>
      <c r="Y26"/>
      <c r="Z26"/>
    </row>
    <row r="27" spans="5:26" ht="15">
      <c r="E27" s="25"/>
      <c r="F27"/>
      <c r="O27" s="14"/>
      <c r="P27" s="14"/>
      <c r="Q27" s="14"/>
      <c r="R27" s="14"/>
      <c r="S27" s="14"/>
      <c r="V27"/>
      <c r="W27"/>
      <c r="X27"/>
      <c r="Y27"/>
      <c r="Z27"/>
    </row>
    <row r="28" spans="1:8" ht="15.75">
      <c r="A28" s="489"/>
      <c r="D28" s="558"/>
      <c r="H28" s="25"/>
    </row>
    <row r="29" spans="1:8" ht="15.75">
      <c r="A29" s="489"/>
      <c r="H29" s="25"/>
    </row>
    <row r="31" spans="4:6" ht="15">
      <c r="D31" s="520"/>
      <c r="E31" s="501"/>
      <c r="F31" s="501"/>
    </row>
    <row r="32" ht="15">
      <c r="D32" s="514"/>
    </row>
    <row r="33" ht="15">
      <c r="D33" s="521"/>
    </row>
    <row r="34" spans="5:6" ht="15">
      <c r="E34" s="558"/>
      <c r="F34" s="558"/>
    </row>
    <row r="36" ht="15">
      <c r="F36"/>
    </row>
    <row r="37" spans="4:6" ht="15">
      <c r="D37" s="557"/>
      <c r="E37" s="520"/>
      <c r="F37"/>
    </row>
    <row r="38" spans="5:6" ht="15">
      <c r="E38" s="514"/>
      <c r="F38"/>
    </row>
    <row r="39" spans="5:6" ht="15">
      <c r="E39" s="521"/>
      <c r="F39"/>
    </row>
    <row r="40" ht="15">
      <c r="F40"/>
    </row>
    <row r="43" spans="5:6" ht="15">
      <c r="E43" s="557"/>
      <c r="F43" s="557"/>
    </row>
    <row r="47" ht="15">
      <c r="G47" s="477"/>
    </row>
    <row r="48" ht="15">
      <c r="G48" s="477"/>
    </row>
    <row r="49" ht="15">
      <c r="G49" s="477"/>
    </row>
    <row r="50" ht="15">
      <c r="G50" s="477"/>
    </row>
  </sheetData>
  <sheetProtection/>
  <protectedRanges>
    <protectedRange sqref="D9" name="Column G Inputs_1"/>
  </protectedRanges>
  <mergeCells count="1">
    <mergeCell ref="K2:L2"/>
  </mergeCells>
  <printOptions/>
  <pageMargins left="0.7" right="0.7" top="0.75" bottom="0.75" header="0.3" footer="0.3"/>
  <pageSetup fitToHeight="1" fitToWidth="1" horizontalDpi="600" verticalDpi="600" orientation="landscape" scale="63"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70" workbookViewId="0" topLeftCell="B1">
      <selection activeCell="Q75" sqref="Q75"/>
    </sheetView>
  </sheetViews>
  <sheetFormatPr defaultColWidth="13.7109375" defaultRowHeight="15"/>
  <cols>
    <col min="1" max="1" width="5.421875" style="63" hidden="1" customWidth="1"/>
    <col min="2" max="2" width="46.421875" style="63" customWidth="1"/>
    <col min="3" max="3" width="15.28125" style="63" customWidth="1"/>
    <col min="4" max="4" width="11.710937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3620800</v>
      </c>
      <c r="H5" s="33">
        <f>IF(H$2&gt;'CREST Inputs'!$G$15,0,'CREST Inputs'!$G$13*H$4)</f>
        <v>3602696</v>
      </c>
      <c r="I5" s="33">
        <f>IF(I$2&gt;'CREST Inputs'!$G$15,0,'CREST Inputs'!$G$13*I$4)</f>
        <v>3584682.52</v>
      </c>
      <c r="J5" s="33">
        <f>IF(J$2&gt;'CREST Inputs'!$G$15,0,'CREST Inputs'!$G$13*J$4)</f>
        <v>3566759.1074</v>
      </c>
      <c r="K5" s="33">
        <f>IF(K$2&gt;'CREST Inputs'!$G$15,0,'CREST Inputs'!$G$13*K$4)</f>
        <v>3548925.311863</v>
      </c>
      <c r="L5" s="33">
        <f>IF(L$2&gt;'CREST Inputs'!$G$15,0,'CREST Inputs'!$G$13*L$4)</f>
        <v>3531180.6853036853</v>
      </c>
      <c r="M5" s="33">
        <f>IF(M$2&gt;'CREST Inputs'!$G$15,0,'CREST Inputs'!$G$13*M$4)</f>
        <v>3513524.781877167</v>
      </c>
      <c r="N5" s="33">
        <f>IF(N$2&gt;'CREST Inputs'!$G$15,0,'CREST Inputs'!$G$13*N$4)</f>
        <v>3495957.1579677807</v>
      </c>
      <c r="O5" s="33">
        <f>IF(O$2&gt;'CREST Inputs'!$G$15,0,'CREST Inputs'!$G$13*O$4)</f>
        <v>3478477.372177942</v>
      </c>
      <c r="P5" s="33">
        <f>IF(P$2&gt;'CREST Inputs'!$G$15,0,'CREST Inputs'!$G$13*P$4)</f>
        <v>3461084.9853170523</v>
      </c>
      <c r="Q5" s="33">
        <f>IF(Q$2&gt;'CREST Inputs'!$G$15,0,'CREST Inputs'!$G$13*Q$4)</f>
        <v>3443779.560390467</v>
      </c>
      <c r="R5" s="33">
        <f>IF(R$2&gt;'CREST Inputs'!$G$15,0,'CREST Inputs'!$G$13*R$4)</f>
        <v>3426560.6625885144</v>
      </c>
      <c r="S5" s="33">
        <f>IF(S$2&gt;'CREST Inputs'!$G$15,0,'CREST Inputs'!$G$13*S$4)</f>
        <v>3409427.8592755715</v>
      </c>
      <c r="T5" s="33">
        <f>IF(T$2&gt;'CREST Inputs'!$G$15,0,'CREST Inputs'!$G$13*T$4)</f>
        <v>3392380.719979194</v>
      </c>
      <c r="U5" s="33">
        <f>IF(U$2&gt;'CREST Inputs'!$G$15,0,'CREST Inputs'!$G$13*U$4)</f>
        <v>3375418.816379298</v>
      </c>
      <c r="V5" s="33">
        <f>IF(V$2&gt;'CREST Inputs'!$G$15,0,'CREST Inputs'!$G$13*V$4)</f>
        <v>3358541.7222974016</v>
      </c>
      <c r="W5" s="33">
        <f>IF(W$2&gt;'CREST Inputs'!$G$15,0,'CREST Inputs'!$G$13*W$4)</f>
        <v>3341749.013685914</v>
      </c>
      <c r="X5" s="33">
        <f>IF(X$2&gt;'CREST Inputs'!$G$15,0,'CREST Inputs'!$G$13*X$4)</f>
        <v>3325040.2686174847</v>
      </c>
      <c r="Y5" s="33">
        <f>IF(Y$2&gt;'CREST Inputs'!$G$15,0,'CREST Inputs'!$G$13*Y$4)</f>
        <v>3308415.0672743972</v>
      </c>
      <c r="Z5" s="33">
        <f>IF(Z$2&gt;'CREST Inputs'!$G$15,0,'CREST Inputs'!$G$13*Z$4)</f>
        <v>3291872.991938025</v>
      </c>
      <c r="AA5" s="33">
        <f>IF(AA$2&gt;'CREST Inputs'!$G$15,0,'CREST Inputs'!$G$13*AA$4)</f>
        <v>3275413.6269783354</v>
      </c>
      <c r="AB5" s="33">
        <f>IF(AB$2&gt;'CREST Inputs'!$G$15,0,'CREST Inputs'!$G$13*AB$4)</f>
        <v>3259036.5588434436</v>
      </c>
      <c r="AC5" s="33">
        <f>IF(AC$2&gt;'CREST Inputs'!$G$15,0,'CREST Inputs'!$G$13*AC$4)</f>
        <v>3242741.3760492266</v>
      </c>
      <c r="AD5" s="33">
        <f>IF(AD$2&gt;'CREST Inputs'!$G$15,0,'CREST Inputs'!$G$13*AD$4)</f>
        <v>3226527.6691689803</v>
      </c>
      <c r="AE5" s="33">
        <f>IF(AE$2&gt;'CREST Inputs'!$G$15,0,'CREST Inputs'!$G$13*AE$4)</f>
        <v>3210395.0308231353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11.830499999999999</v>
      </c>
      <c r="H12" s="77">
        <f>IF(H2&gt;'CREST Inputs'!$Q$8,0,G12)</f>
        <v>11.830499999999999</v>
      </c>
      <c r="I12" s="77">
        <f>IF(I2&gt;'CREST Inputs'!$Q$8,0,H12)</f>
        <v>11.830499999999999</v>
      </c>
      <c r="J12" s="77">
        <f>IF(J2&gt;'CREST Inputs'!$Q$8,0,I12)</f>
        <v>11.830499999999999</v>
      </c>
      <c r="K12" s="77">
        <f>IF(K2&gt;'CREST Inputs'!$Q$8,0,J12)</f>
        <v>11.830499999999999</v>
      </c>
      <c r="L12" s="77">
        <f>IF(L2&gt;'CREST Inputs'!$Q$8,0,K12)</f>
        <v>11.830499999999999</v>
      </c>
      <c r="M12" s="77">
        <f>IF(M2&gt;'CREST Inputs'!$Q$8,0,L12)</f>
        <v>11.830499999999999</v>
      </c>
      <c r="N12" s="77">
        <f>IF(N2&gt;'CREST Inputs'!$Q$8,0,M12)</f>
        <v>11.830499999999999</v>
      </c>
      <c r="O12" s="77">
        <f>IF(O2&gt;'CREST Inputs'!$Q$8,0,N12)</f>
        <v>11.830499999999999</v>
      </c>
      <c r="P12" s="77">
        <f>IF(P2&gt;'CREST Inputs'!$Q$8,0,O12)</f>
        <v>11.830499999999999</v>
      </c>
      <c r="Q12" s="77">
        <f>IF(Q2&gt;'CREST Inputs'!$Q$8,0,P12)</f>
        <v>11.830499999999999</v>
      </c>
      <c r="R12" s="77">
        <f>IF(R2&gt;'CREST Inputs'!$Q$8,0,Q12)</f>
        <v>11.830499999999999</v>
      </c>
      <c r="S12" s="77">
        <f>IF(S2&gt;'CREST Inputs'!$Q$8,0,R12)</f>
        <v>11.830499999999999</v>
      </c>
      <c r="T12" s="77">
        <f>IF(T2&gt;'CREST Inputs'!$Q$8,0,S12)</f>
        <v>11.830499999999999</v>
      </c>
      <c r="U12" s="77">
        <f>IF(U2&gt;'CREST Inputs'!$Q$8,0,T12)</f>
        <v>11.830499999999999</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0.1195</v>
      </c>
      <c r="H13" s="194">
        <f>IF(H2&gt;'CREST Inputs'!$Q$8,0,G13*(1+'CREST Inputs'!$Q$10))</f>
        <v>0.1195</v>
      </c>
      <c r="I13" s="194">
        <f>IF(I2&gt;'CREST Inputs'!$Q$8,0,H13*(1+'CREST Inputs'!$Q$10))</f>
        <v>0.1195</v>
      </c>
      <c r="J13" s="194">
        <f>IF(J2&gt;'CREST Inputs'!$Q$8,0,I13*(1+'CREST Inputs'!$Q$10))</f>
        <v>0.1195</v>
      </c>
      <c r="K13" s="194">
        <f>IF(K2&gt;'CREST Inputs'!$Q$8,0,J13*(1+'CREST Inputs'!$Q$10))</f>
        <v>0.1195</v>
      </c>
      <c r="L13" s="194">
        <f>IF(L2&gt;'CREST Inputs'!$Q$8,0,K13*(1+'CREST Inputs'!$Q$10))</f>
        <v>0.1195</v>
      </c>
      <c r="M13" s="194">
        <f>IF(M2&gt;'CREST Inputs'!$Q$8,0,L13*(1+'CREST Inputs'!$Q$10))</f>
        <v>0.1195</v>
      </c>
      <c r="N13" s="194">
        <f>IF(N2&gt;'CREST Inputs'!$Q$8,0,M13*(1+'CREST Inputs'!$Q$10))</f>
        <v>0.1195</v>
      </c>
      <c r="O13" s="194">
        <f>IF(O2&gt;'CREST Inputs'!$Q$8,0,N13*(1+'CREST Inputs'!$Q$10))</f>
        <v>0.1195</v>
      </c>
      <c r="P13" s="194">
        <f>IF(P2&gt;'CREST Inputs'!$Q$8,0,O13*(1+'CREST Inputs'!$Q$10))</f>
        <v>0.1195</v>
      </c>
      <c r="Q13" s="194">
        <f>IF(Q2&gt;'CREST Inputs'!$Q$8,0,P13*(1+'CREST Inputs'!$Q$10))</f>
        <v>0.1195</v>
      </c>
      <c r="R13" s="194">
        <f>IF(R2&gt;'CREST Inputs'!$Q$8,0,Q13*(1+'CREST Inputs'!$Q$10))</f>
        <v>0.1195</v>
      </c>
      <c r="S13" s="194">
        <f>IF(S2&gt;'CREST Inputs'!$Q$8,0,R13*(1+'CREST Inputs'!$Q$10))</f>
        <v>0.1195</v>
      </c>
      <c r="T13" s="194">
        <f>IF(T2&gt;'CREST Inputs'!$Q$8,0,S13*(1+'CREST Inputs'!$Q$10))</f>
        <v>0.1195</v>
      </c>
      <c r="U13" s="194">
        <f>IF(U2&gt;'CREST Inputs'!$Q$8,0,T13*(1+'CREST Inputs'!$Q$10))</f>
        <v>0.1195</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11.95</v>
      </c>
      <c r="H14" s="77">
        <f aca="true" t="shared" si="0" ref="H14:AJ14">SUM(H12:H13)</f>
        <v>11.95</v>
      </c>
      <c r="I14" s="77">
        <f t="shared" si="0"/>
        <v>11.95</v>
      </c>
      <c r="J14" s="77">
        <f t="shared" si="0"/>
        <v>11.95</v>
      </c>
      <c r="K14" s="77">
        <f t="shared" si="0"/>
        <v>11.95</v>
      </c>
      <c r="L14" s="77">
        <f t="shared" si="0"/>
        <v>11.95</v>
      </c>
      <c r="M14" s="77">
        <f t="shared" si="0"/>
        <v>11.95</v>
      </c>
      <c r="N14" s="77">
        <f t="shared" si="0"/>
        <v>11.95</v>
      </c>
      <c r="O14" s="77">
        <f t="shared" si="0"/>
        <v>11.95</v>
      </c>
      <c r="P14" s="77">
        <f t="shared" si="0"/>
        <v>11.95</v>
      </c>
      <c r="Q14" s="77">
        <f t="shared" si="0"/>
        <v>11.95</v>
      </c>
      <c r="R14" s="77">
        <f t="shared" si="0"/>
        <v>11.95</v>
      </c>
      <c r="S14" s="77">
        <f t="shared" si="0"/>
        <v>11.95</v>
      </c>
      <c r="T14" s="77">
        <f t="shared" si="0"/>
        <v>11.95</v>
      </c>
      <c r="U14" s="77">
        <f t="shared" si="0"/>
        <v>11.95</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432685.6</v>
      </c>
      <c r="H15" s="35">
        <f aca="true" t="shared" si="1" ref="H15:AJ15">(H$14*H$5)/100</f>
        <v>430522.17199999996</v>
      </c>
      <c r="I15" s="35">
        <f t="shared" si="1"/>
        <v>428369.56114</v>
      </c>
      <c r="J15" s="35">
        <f t="shared" si="1"/>
        <v>426227.7133343</v>
      </c>
      <c r="K15" s="35">
        <f t="shared" si="1"/>
        <v>424096.57476762845</v>
      </c>
      <c r="L15" s="35">
        <f t="shared" si="1"/>
        <v>421976.09189379035</v>
      </c>
      <c r="M15" s="35">
        <f t="shared" si="1"/>
        <v>419866.2114343214</v>
      </c>
      <c r="N15" s="35">
        <f t="shared" si="1"/>
        <v>417766.8803771498</v>
      </c>
      <c r="O15" s="35">
        <f t="shared" si="1"/>
        <v>415678.0459752641</v>
      </c>
      <c r="P15" s="35">
        <f t="shared" si="1"/>
        <v>413599.6557453878</v>
      </c>
      <c r="Q15" s="35">
        <f t="shared" si="1"/>
        <v>411531.6574666607</v>
      </c>
      <c r="R15" s="35">
        <f t="shared" si="1"/>
        <v>409473.9991793274</v>
      </c>
      <c r="S15" s="35">
        <f t="shared" si="1"/>
        <v>407426.62918343075</v>
      </c>
      <c r="T15" s="35">
        <f t="shared" si="1"/>
        <v>405389.4960375137</v>
      </c>
      <c r="U15" s="35">
        <f t="shared" si="1"/>
        <v>403362.548557326</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2.73104</v>
      </c>
      <c r="H16" s="77">
        <f>IF(H$2&gt;'CREST Inputs'!$G$15,0,IF('CREST Inputs'!$Q$13="Year One",G$16*(1+'CREST Inputs'!$Q$15),0))</f>
        <v>2.7856608</v>
      </c>
      <c r="I16" s="77">
        <f>IF(I$2&gt;'CREST Inputs'!$G$15,0,IF('CREST Inputs'!$Q$13="Year One",H$16*(1+'CREST Inputs'!$Q$15),0))</f>
        <v>2.841374016</v>
      </c>
      <c r="J16" s="77">
        <f>IF(J$2&gt;'CREST Inputs'!$G$15,0,IF('CREST Inputs'!$Q$13="Year One",I$16*(1+'CREST Inputs'!$Q$15),0))</f>
        <v>2.89820149632</v>
      </c>
      <c r="K16" s="77">
        <f>IF(K$2&gt;'CREST Inputs'!$G$15,0,IF('CREST Inputs'!$Q$13="Year One",J$16*(1+'CREST Inputs'!$Q$15),0))</f>
        <v>2.9561655262464</v>
      </c>
      <c r="L16" s="77">
        <f>IF(L$2&gt;'CREST Inputs'!$G$15,0,IF('CREST Inputs'!$Q$13="Year One",K$16*(1+'CREST Inputs'!$Q$15),0))</f>
        <v>3.015288836771328</v>
      </c>
      <c r="M16" s="77">
        <f>IF(M$2&gt;'CREST Inputs'!$G$15,0,IF('CREST Inputs'!$Q$13="Year One",L$16*(1+'CREST Inputs'!$Q$15),0))</f>
        <v>3.075594613506755</v>
      </c>
      <c r="N16" s="77">
        <f>IF(N$2&gt;'CREST Inputs'!$G$15,0,IF('CREST Inputs'!$Q$13="Year One",M$16*(1+'CREST Inputs'!$Q$15),0))</f>
        <v>3.13710650577689</v>
      </c>
      <c r="O16" s="77">
        <f>IF(O$2&gt;'CREST Inputs'!$G$15,0,IF('CREST Inputs'!$Q$13="Year One",N$16*(1+'CREST Inputs'!$Q$15),0))</f>
        <v>3.199848635892428</v>
      </c>
      <c r="P16" s="77">
        <f>IF(P$2&gt;'CREST Inputs'!$G$15,0,IF('CREST Inputs'!$Q$13="Year One",O$16*(1+'CREST Inputs'!$Q$15),0))</f>
        <v>3.2638456086102763</v>
      </c>
      <c r="Q16" s="77">
        <f>IF(Q$2&gt;'CREST Inputs'!$G$15,0,IF('CREST Inputs'!$Q$13="Year One",P$16*(1+'CREST Inputs'!$Q$15),0))</f>
        <v>3.329122520782482</v>
      </c>
      <c r="R16" s="77">
        <f>IF(R$2&gt;'CREST Inputs'!$G$15,0,IF('CREST Inputs'!$Q$13="Year One",Q$16*(1+'CREST Inputs'!$Q$15),0))</f>
        <v>3.3957049711981315</v>
      </c>
      <c r="S16" s="77">
        <f>IF(S$2&gt;'CREST Inputs'!$G$15,0,IF('CREST Inputs'!$Q$13="Year One",R$16*(1+'CREST Inputs'!$Q$15),0))</f>
        <v>3.4636190706220944</v>
      </c>
      <c r="T16" s="77">
        <f>IF(T$2&gt;'CREST Inputs'!$G$15,0,IF('CREST Inputs'!$Q$13="Year One",S$16*(1+'CREST Inputs'!$Q$15),0))</f>
        <v>3.5328914520345363</v>
      </c>
      <c r="U16" s="77">
        <f>IF(U$2&gt;'CREST Inputs'!$G$15,0,IF('CREST Inputs'!$Q$13="Year One",T$16*(1+'CREST Inputs'!$Q$15),0))</f>
        <v>3.603549281075227</v>
      </c>
      <c r="V16" s="77">
        <f>IF(V$2&gt;'CREST Inputs'!$G$15,0,IF('CREST Inputs'!$Q$13="Year One",U$16*(1+'CREST Inputs'!$Q$15),0))</f>
        <v>3.6756202666967317</v>
      </c>
      <c r="W16" s="77">
        <f>IF(W$2&gt;'CREST Inputs'!$G$15,0,IF('CREST Inputs'!$Q$13="Year One",V$16*(1+'CREST Inputs'!$Q$15),0))</f>
        <v>3.7491326720306666</v>
      </c>
      <c r="X16" s="77">
        <f>IF(X$2&gt;'CREST Inputs'!$G$15,0,IF('CREST Inputs'!$Q$13="Year One",W$16*(1+'CREST Inputs'!$Q$15),0))</f>
        <v>3.82411532547128</v>
      </c>
      <c r="Y16" s="77">
        <f>IF(Y$2&gt;'CREST Inputs'!$G$15,0,IF('CREST Inputs'!$Q$13="Year One",X$16*(1+'CREST Inputs'!$Q$15),0))</f>
        <v>3.900597631980706</v>
      </c>
      <c r="Z16" s="77">
        <f>IF(Z$2&gt;'CREST Inputs'!$G$15,0,IF('CREST Inputs'!$Q$13="Year One",Y$16*(1+'CREST Inputs'!$Q$15),0))</f>
        <v>3.97860958462032</v>
      </c>
      <c r="AA16" s="77">
        <f>IF(AA$2&gt;'CREST Inputs'!$G$15,0,IF('CREST Inputs'!$Q$13="Year One",Z$16*(1+'CREST Inputs'!$Q$15),0))</f>
        <v>4.058181776312726</v>
      </c>
      <c r="AB16" s="77">
        <f>IF(AB$2&gt;'CREST Inputs'!$G$15,0,IF('CREST Inputs'!$Q$13="Year One",AA$16*(1+'CREST Inputs'!$Q$15),0))</f>
        <v>4.139345411838981</v>
      </c>
      <c r="AC16" s="77">
        <f>IF(AC$2&gt;'CREST Inputs'!$G$15,0,IF('CREST Inputs'!$Q$13="Year One",AB$16*(1+'CREST Inputs'!$Q$15),0))</f>
        <v>4.222132320075761</v>
      </c>
      <c r="AD16" s="77">
        <f>IF(AD$2&gt;'CREST Inputs'!$G$15,0,IF('CREST Inputs'!$Q$13="Year One",AC$16*(1+'CREST Inputs'!$Q$15),0))</f>
        <v>4.306574966477276</v>
      </c>
      <c r="AE16" s="77">
        <f>IF(AE$2&gt;'CREST Inputs'!$G$15,0,IF('CREST Inputs'!$Q$13="Year One",AD$16*(1+'CREST Inputs'!$Q$15),0))</f>
        <v>4.392706465806822</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123447.24021022877</v>
      </c>
      <c r="W17" s="35">
        <f>IF(W$2&lt;='CREST Inputs'!$Q$8,0,IF(W$2&gt;'CREST Inputs'!$G$15,0,(W$16*W$5)/100))</f>
        <v>125286.60408936116</v>
      </c>
      <c r="X17" s="35">
        <f>IF(X$2&lt;='CREST Inputs'!$Q$8,0,IF(X$2&gt;'CREST Inputs'!$G$15,0,(X$16*X$5)/100))</f>
        <v>127153.37449029266</v>
      </c>
      <c r="Y17" s="35">
        <f>IF(Y$2&lt;='CREST Inputs'!$Q$8,0,IF(Y$2&gt;'CREST Inputs'!$G$15,0,(Y$16*Y$5)/100))</f>
        <v>129047.95977019802</v>
      </c>
      <c r="Z17" s="35">
        <f>IF(Z$2&lt;='CREST Inputs'!$Q$8,0,IF(Z$2&gt;'CREST Inputs'!$G$15,0,(Z$16*Z$5)/100))</f>
        <v>130970.77437077397</v>
      </c>
      <c r="AA17" s="35">
        <f>IF(AA$2&lt;='CREST Inputs'!$Q$8,0,IF(AA$2&gt;'CREST Inputs'!$G$15,0,(AA$16*AA$5)/100))</f>
        <v>132922.23890889852</v>
      </c>
      <c r="AB17" s="35">
        <f>IF(AB$2&lt;='CREST Inputs'!$Q$8,0,IF(AB$2&gt;'CREST Inputs'!$G$15,0,(AB$16*AB$5)/100))</f>
        <v>134902.7802686411</v>
      </c>
      <c r="AC17" s="35">
        <f>IF(AC$2&lt;='CREST Inputs'!$Q$8,0,IF(AC$2&gt;'CREST Inputs'!$G$15,0,(AC$16*AC$5)/100))</f>
        <v>136912.83169464386</v>
      </c>
      <c r="AD17" s="35">
        <f>IF(AD$2&lt;='CREST Inputs'!$Q$8,0,IF(AD$2&gt;'CREST Inputs'!$G$15,0,(AD$16*AD$5)/100))</f>
        <v>138952.83288689406</v>
      </c>
      <c r="AE17" s="35">
        <f>IF(AE$2&lt;='CREST Inputs'!$Q$8,0,IF(AE$2&gt;'CREST Inputs'!$G$15,0,(AE$16*AE$5)/100))</f>
        <v>141023.23009690878</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3065.20136685694</v>
      </c>
      <c r="H22" s="86">
        <f aca="true" t="shared" si="3" ref="H22:AJ22">H199</f>
        <v>3835.5717372273107</v>
      </c>
      <c r="I22" s="86">
        <f t="shared" si="3"/>
        <v>4605.942107597681</v>
      </c>
      <c r="J22" s="86">
        <f t="shared" si="3"/>
        <v>5376.312477968051</v>
      </c>
      <c r="K22" s="86">
        <f t="shared" si="3"/>
        <v>6146.682848338422</v>
      </c>
      <c r="L22" s="86">
        <f t="shared" si="3"/>
        <v>6917.053218708793</v>
      </c>
      <c r="M22" s="86">
        <f t="shared" si="3"/>
        <v>7687.423589079163</v>
      </c>
      <c r="N22" s="86">
        <f t="shared" si="3"/>
        <v>8457.793959449535</v>
      </c>
      <c r="O22" s="86">
        <f t="shared" si="3"/>
        <v>9228.164329819905</v>
      </c>
      <c r="P22" s="86">
        <f t="shared" si="3"/>
        <v>6146.682848338424</v>
      </c>
      <c r="Q22" s="86">
        <f t="shared" si="3"/>
        <v>2680.016181671757</v>
      </c>
      <c r="R22" s="86">
        <f t="shared" si="3"/>
        <v>2680.016181671757</v>
      </c>
      <c r="S22" s="86">
        <f t="shared" si="3"/>
        <v>2680.016181671757</v>
      </c>
      <c r="T22" s="86">
        <f t="shared" si="3"/>
        <v>2680.016181671757</v>
      </c>
      <c r="U22" s="86">
        <f t="shared" si="3"/>
        <v>2680.016181671757</v>
      </c>
      <c r="V22" s="86">
        <f t="shared" si="3"/>
        <v>1779.6215285775108</v>
      </c>
      <c r="W22" s="86">
        <f t="shared" si="3"/>
        <v>879.2268754832651</v>
      </c>
      <c r="X22" s="86">
        <f t="shared" si="3"/>
        <v>879.2268754832651</v>
      </c>
      <c r="Y22" s="86">
        <f t="shared" si="3"/>
        <v>879.2268754832651</v>
      </c>
      <c r="Z22" s="86">
        <f t="shared" si="3"/>
        <v>879.2268754832651</v>
      </c>
      <c r="AA22" s="86">
        <f t="shared" si="3"/>
        <v>879.2268754832651</v>
      </c>
      <c r="AB22" s="86">
        <f t="shared" si="3"/>
        <v>879.2268754832651</v>
      </c>
      <c r="AC22" s="86">
        <f t="shared" si="3"/>
        <v>879.2268754832651</v>
      </c>
      <c r="AD22" s="86">
        <f t="shared" si="3"/>
        <v>879.2268754832651</v>
      </c>
      <c r="AE22" s="86">
        <f t="shared" si="3"/>
        <v>439.61343774163333</v>
      </c>
      <c r="AF22" s="86">
        <f t="shared" si="3"/>
        <v>8.003553375601769E-13</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435750.8013668569</v>
      </c>
      <c r="H23" s="39">
        <f aca="true" t="shared" si="4" ref="H23:AJ23">H15+H17+H19+H21+H22</f>
        <v>434357.7437372273</v>
      </c>
      <c r="I23" s="39">
        <f t="shared" si="4"/>
        <v>432975.50324759766</v>
      </c>
      <c r="J23" s="39">
        <f t="shared" si="4"/>
        <v>431604.025812268</v>
      </c>
      <c r="K23" s="39">
        <f t="shared" si="4"/>
        <v>430243.2576159669</v>
      </c>
      <c r="L23" s="39">
        <f t="shared" si="4"/>
        <v>428893.1451124991</v>
      </c>
      <c r="M23" s="39">
        <f t="shared" si="4"/>
        <v>427553.6350234006</v>
      </c>
      <c r="N23" s="39">
        <f t="shared" si="4"/>
        <v>426224.6743365993</v>
      </c>
      <c r="O23" s="39">
        <f t="shared" si="4"/>
        <v>424906.210305084</v>
      </c>
      <c r="P23" s="39">
        <f t="shared" si="4"/>
        <v>419746.3385937262</v>
      </c>
      <c r="Q23" s="39">
        <f t="shared" si="4"/>
        <v>414211.6736483325</v>
      </c>
      <c r="R23" s="39">
        <f>R15+R17+R19+R21+R22</f>
        <v>412154.01536099915</v>
      </c>
      <c r="S23" s="39">
        <f t="shared" si="4"/>
        <v>410106.6453651025</v>
      </c>
      <c r="T23" s="39">
        <f t="shared" si="4"/>
        <v>408069.5122191855</v>
      </c>
      <c r="U23" s="39">
        <f t="shared" si="4"/>
        <v>406042.5647389978</v>
      </c>
      <c r="V23" s="39">
        <f t="shared" si="4"/>
        <v>125226.86173880628</v>
      </c>
      <c r="W23" s="39">
        <f t="shared" si="4"/>
        <v>126165.83096484443</v>
      </c>
      <c r="X23" s="39">
        <f t="shared" si="4"/>
        <v>128032.60136577592</v>
      </c>
      <c r="Y23" s="39">
        <f t="shared" si="4"/>
        <v>129927.18664568129</v>
      </c>
      <c r="Z23" s="39">
        <f t="shared" si="4"/>
        <v>131850.00124625725</v>
      </c>
      <c r="AA23" s="39">
        <f t="shared" si="4"/>
        <v>133801.46578438178</v>
      </c>
      <c r="AB23" s="39">
        <f t="shared" si="4"/>
        <v>135782.00714412436</v>
      </c>
      <c r="AC23" s="39">
        <f t="shared" si="4"/>
        <v>137792.05857012712</v>
      </c>
      <c r="AD23" s="39">
        <f t="shared" si="4"/>
        <v>139832.05976237732</v>
      </c>
      <c r="AE23" s="39">
        <f t="shared" si="4"/>
        <v>141462.84353465043</v>
      </c>
      <c r="AF23" s="39">
        <f t="shared" si="4"/>
        <v>8.003553375601769E-13</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-8979.872940517322</v>
      </c>
      <c r="H30" s="71">
        <f>-IF('CREST Inputs'!$G$30="simple",0,IF(H$2&gt;'CREST Inputs'!$G$15,0,'CREST Inputs'!$G$37*H$26))</f>
        <v>-9159.470399327669</v>
      </c>
      <c r="I30" s="71">
        <f>-IF('CREST Inputs'!$G$30="simple",0,IF(I$2&gt;'CREST Inputs'!$G$15,0,'CREST Inputs'!$G$37*I$26))</f>
        <v>-9342.659807314221</v>
      </c>
      <c r="J30" s="71">
        <f>-IF('CREST Inputs'!$G$30="simple",0,IF(J$2&gt;'CREST Inputs'!$G$15,0,'CREST Inputs'!$G$37*J$26))</f>
        <v>-9529.513003460504</v>
      </c>
      <c r="K30" s="71">
        <f>-IF('CREST Inputs'!$G$30="simple",0,IF(K$2&gt;'CREST Inputs'!$G$15,0,'CREST Inputs'!$G$37*K$26))</f>
        <v>-9720.103263529716</v>
      </c>
      <c r="L30" s="71">
        <f>-IF('CREST Inputs'!$G$30="simple",0,IF(L$2&gt;'CREST Inputs'!$G$15,0,'CREST Inputs'!$G$37*L$26))</f>
        <v>-9914.505328800311</v>
      </c>
      <c r="M30" s="71">
        <f>-IF('CREST Inputs'!$G$30="simple",0,IF(M$2&gt;'CREST Inputs'!$G$15,0,'CREST Inputs'!$G$37*M$26))</f>
        <v>-10112.795435376318</v>
      </c>
      <c r="N30" s="71">
        <f>-IF('CREST Inputs'!$G$30="simple",0,IF(N$2&gt;'CREST Inputs'!$G$15,0,'CREST Inputs'!$G$37*N$26))</f>
        <v>-10315.051344083844</v>
      </c>
      <c r="O30" s="71">
        <f>-IF('CREST Inputs'!$G$30="simple",0,IF(O$2&gt;'CREST Inputs'!$G$15,0,'CREST Inputs'!$G$37*O$26))</f>
        <v>-10521.352370965522</v>
      </c>
      <c r="P30" s="71">
        <f>-IF('CREST Inputs'!$G$30="simple",0,IF(P$2&gt;'CREST Inputs'!$G$15,0,'CREST Inputs'!$G$37*P$26))</f>
        <v>-10731.779418384831</v>
      </c>
      <c r="Q30" s="71">
        <f>-IF('CREST Inputs'!$G$30="simple",0,IF(Q$2&gt;'CREST Inputs'!$G$15,0,'CREST Inputs'!$G$37*Q$26))</f>
        <v>-10946.415006752528</v>
      </c>
      <c r="R30" s="71">
        <f>-IF('CREST Inputs'!$G$30="simple",0,IF(R$2&gt;'CREST Inputs'!$G$15,0,'CREST Inputs'!$G$37*R$26))</f>
        <v>-11165.343306887578</v>
      </c>
      <c r="S30" s="71">
        <f>-IF('CREST Inputs'!$G$30="simple",0,IF(S$2&gt;'CREST Inputs'!$G$15,0,'CREST Inputs'!$G$37*S$26))</f>
        <v>-11388.650173025331</v>
      </c>
      <c r="T30" s="71">
        <f>-IF('CREST Inputs'!$G$30="simple",0,IF(T$2&gt;'CREST Inputs'!$G$15,0,'CREST Inputs'!$G$37*T$26))</f>
        <v>-11616.423176485836</v>
      </c>
      <c r="U30" s="71">
        <f>-IF('CREST Inputs'!$G$30="simple",0,IF(U$2&gt;'CREST Inputs'!$G$15,0,'CREST Inputs'!$G$37*U$26))</f>
        <v>-11848.751640015555</v>
      </c>
      <c r="V30" s="71">
        <f>-IF('CREST Inputs'!$G$30="simple",0,IF(V$2&gt;'CREST Inputs'!$G$15,0,'CREST Inputs'!$G$37*V$26))</f>
        <v>-12085.726672815867</v>
      </c>
      <c r="W30" s="71">
        <f>-IF('CREST Inputs'!$G$30="simple",0,IF(W$2&gt;'CREST Inputs'!$G$15,0,'CREST Inputs'!$G$37*W$26))</f>
        <v>-12327.441206272184</v>
      </c>
      <c r="X30" s="71">
        <f>-IF('CREST Inputs'!$G$30="simple",0,IF(X$2&gt;'CREST Inputs'!$G$15,0,'CREST Inputs'!$G$37*X$26))</f>
        <v>-12573.990030397628</v>
      </c>
      <c r="Y30" s="71">
        <f>-IF('CREST Inputs'!$G$30="simple",0,IF(Y$2&gt;'CREST Inputs'!$G$15,0,'CREST Inputs'!$G$37*Y$26))</f>
        <v>-12825.469831005581</v>
      </c>
      <c r="Z30" s="71">
        <f>-IF('CREST Inputs'!$G$30="simple",0,IF(Z$2&gt;'CREST Inputs'!$G$15,0,'CREST Inputs'!$G$37*Z$26))</f>
        <v>-13081.979227625692</v>
      </c>
      <c r="AA30" s="71">
        <f>-IF('CREST Inputs'!$G$30="simple",0,IF(AA$2&gt;'CREST Inputs'!$G$15,0,'CREST Inputs'!$G$37*AA$26))</f>
        <v>-13343.618812178207</v>
      </c>
      <c r="AB30" s="71">
        <f>-IF('CREST Inputs'!$G$30="simple",0,IF(AB$2&gt;'CREST Inputs'!$G$15,0,'CREST Inputs'!$G$37*AB$26))</f>
        <v>-13610.491188421773</v>
      </c>
      <c r="AC30" s="71">
        <f>-IF('CREST Inputs'!$G$30="simple",0,IF(AC$2&gt;'CREST Inputs'!$G$15,0,'CREST Inputs'!$G$37*AC$26))</f>
        <v>-13882.701012190208</v>
      </c>
      <c r="AD30" s="71">
        <f>-IF('CREST Inputs'!$G$30="simple",0,IF(AD$2&gt;'CREST Inputs'!$G$15,0,'CREST Inputs'!$G$37*AD$26))</f>
        <v>-14160.355032434012</v>
      </c>
      <c r="AE30" s="71">
        <f>-IF('CREST Inputs'!$G$30="simple",0,IF(AE$2&gt;'CREST Inputs'!$G$15,0,'CREST Inputs'!$G$37*AE$26))</f>
        <v>-14443.562133082693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-12000</v>
      </c>
      <c r="H32" s="71">
        <f>IF('CREST Inputs'!$G$30="simple",0,IF(H$2&gt;'CREST Inputs'!$G$15,0,G32*(1+'CREST Inputs'!$G$40)))</f>
        <v>-11580</v>
      </c>
      <c r="I32" s="71">
        <f>IF('CREST Inputs'!$G$30="simple",0,IF(I$2&gt;'CREST Inputs'!$G$15,0,H32*(1+'CREST Inputs'!$G$40)))</f>
        <v>-11174.699999999999</v>
      </c>
      <c r="J32" s="71">
        <f>IF('CREST Inputs'!$G$30="simple",0,IF(J$2&gt;'CREST Inputs'!$G$15,0,I32*(1+'CREST Inputs'!$G$40)))</f>
        <v>-10783.5855</v>
      </c>
      <c r="K32" s="71">
        <f>IF('CREST Inputs'!$G$30="simple",0,IF(K$2&gt;'CREST Inputs'!$G$15,0,J32*(1+'CREST Inputs'!$G$40)))</f>
        <v>-10406.160007499999</v>
      </c>
      <c r="L32" s="71">
        <f>IF('CREST Inputs'!$G$30="simple",0,IF(L$2&gt;'CREST Inputs'!$G$15,0,K32*(1+'CREST Inputs'!$G$40)))</f>
        <v>-10041.944407237499</v>
      </c>
      <c r="M32" s="71">
        <f>IF('CREST Inputs'!$G$30="simple",0,IF(M$2&gt;'CREST Inputs'!$G$15,0,L32*(1+'CREST Inputs'!$G$40)))</f>
        <v>-9690.476352984186</v>
      </c>
      <c r="N32" s="71">
        <f>IF('CREST Inputs'!$G$30="simple",0,IF(N$2&gt;'CREST Inputs'!$G$15,0,M32*(1+'CREST Inputs'!$G$40)))</f>
        <v>-9351.309680629738</v>
      </c>
      <c r="O32" s="71">
        <f>IF('CREST Inputs'!$G$30="simple",0,IF(O$2&gt;'CREST Inputs'!$G$15,0,N32*(1+'CREST Inputs'!$G$40)))</f>
        <v>-9024.013841807697</v>
      </c>
      <c r="P32" s="71">
        <f>IF('CREST Inputs'!$G$30="simple",0,IF(P$2&gt;'CREST Inputs'!$G$15,0,O32*(1+'CREST Inputs'!$G$40)))</f>
        <v>-8708.173357344427</v>
      </c>
      <c r="Q32" s="71">
        <f>IF('CREST Inputs'!$G$30="simple",0,IF(Q$2&gt;'CREST Inputs'!$G$15,0,P32*(1+'CREST Inputs'!$G$40)))</f>
        <v>-8403.387289837372</v>
      </c>
      <c r="R32" s="71">
        <f>IF('CREST Inputs'!$G$30="simple",0,IF(R$2&gt;'CREST Inputs'!$G$15,0,Q32*(1+'CREST Inputs'!$G$40)))</f>
        <v>-8109.268734693063</v>
      </c>
      <c r="S32" s="71">
        <f>IF('CREST Inputs'!$G$30="simple",0,IF(S$2&gt;'CREST Inputs'!$G$15,0,R32*(1+'CREST Inputs'!$G$40)))</f>
        <v>-7825.444328978806</v>
      </c>
      <c r="T32" s="71">
        <f>IF('CREST Inputs'!$G$30="simple",0,IF(T$2&gt;'CREST Inputs'!$G$15,0,S32*(1+'CREST Inputs'!$G$40)))</f>
        <v>-7551.553777464547</v>
      </c>
      <c r="U32" s="71">
        <f>IF('CREST Inputs'!$G$30="simple",0,IF(U$2&gt;'CREST Inputs'!$G$15,0,T32*(1+'CREST Inputs'!$G$40)))</f>
        <v>-7287.249395253288</v>
      </c>
      <c r="V32" s="71">
        <f>IF('CREST Inputs'!$G$30="simple",0,IF(V$2&gt;'CREST Inputs'!$G$15,0,U32*(1+'CREST Inputs'!$G$40)))</f>
        <v>-7032.195666419422</v>
      </c>
      <c r="W32" s="71">
        <f>IF('CREST Inputs'!$G$30="simple",0,IF(W$2&gt;'CREST Inputs'!$G$15,0,V32*(1+'CREST Inputs'!$G$40)))</f>
        <v>-6786.068818094742</v>
      </c>
      <c r="X32" s="71">
        <f>IF('CREST Inputs'!$G$30="simple",0,IF(X$2&gt;'CREST Inputs'!$G$15,0,W32*(1+'CREST Inputs'!$G$40)))</f>
        <v>-6548.556409461426</v>
      </c>
      <c r="Y32" s="71">
        <f>IF('CREST Inputs'!$G$30="simple",0,IF(Y$2&gt;'CREST Inputs'!$G$15,0,X32*(1+'CREST Inputs'!$G$40)))</f>
        <v>-6319.356935130276</v>
      </c>
      <c r="Z32" s="71">
        <f>IF('CREST Inputs'!$G$30="simple",0,IF(Z$2&gt;'CREST Inputs'!$G$15,0,Y32*(1+'CREST Inputs'!$G$40)))</f>
        <v>-6098.179442400716</v>
      </c>
      <c r="AA32" s="71">
        <f>IF('CREST Inputs'!$G$30="simple",0,IF(AA$2&gt;'CREST Inputs'!$G$15,0,Z32*(1+'CREST Inputs'!$G$40)))</f>
        <v>-5884.743161916691</v>
      </c>
      <c r="AB32" s="71">
        <f>IF('CREST Inputs'!$G$30="simple",0,IF(AB$2&gt;'CREST Inputs'!$G$15,0,AA32*(1+'CREST Inputs'!$G$40)))</f>
        <v>-5678.7771512496065</v>
      </c>
      <c r="AC32" s="71">
        <f>IF('CREST Inputs'!$G$30="simple",0,IF(AC$2&gt;'CREST Inputs'!$G$15,0,AB32*(1+'CREST Inputs'!$G$40)))</f>
        <v>-5480.01995095587</v>
      </c>
      <c r="AD32" s="71">
        <f>IF('CREST Inputs'!$G$30="simple",0,IF(AD$2&gt;'CREST Inputs'!$G$15,0,AC32*(1+'CREST Inputs'!$G$40)))</f>
        <v>-5288.219252672414</v>
      </c>
      <c r="AE32" s="71">
        <f>IF('CREST Inputs'!$G$30="simple",0,IF(AE$2&gt;'CREST Inputs'!$G$15,0,AD32*(1+'CREST Inputs'!$G$40)))</f>
        <v>-5103.131578828879</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-13333.333333333332</v>
      </c>
      <c r="H33" s="71">
        <f>IF('CREST Inputs'!$G$30="simple",0,IF(H$2&gt;'CREST Inputs'!$G$15,0,-'CREST Inputs'!$G$41*H$26))</f>
        <v>-13599.999999999998</v>
      </c>
      <c r="I33" s="71">
        <f>IF('CREST Inputs'!$G$30="simple",0,IF(I$2&gt;'CREST Inputs'!$G$15,0,-'CREST Inputs'!$G$41*I$26))</f>
        <v>-13871.999999999998</v>
      </c>
      <c r="J33" s="71">
        <f>IF('CREST Inputs'!$G$30="simple",0,IF(J$2&gt;'CREST Inputs'!$G$15,0,-'CREST Inputs'!$G$41*J$26))</f>
        <v>-14149.439999999997</v>
      </c>
      <c r="K33" s="71">
        <f>IF('CREST Inputs'!$G$30="simple",0,IF(K$2&gt;'CREST Inputs'!$G$15,0,-'CREST Inputs'!$G$41*K$26))</f>
        <v>-14432.428799999998</v>
      </c>
      <c r="L33" s="71">
        <f>IF('CREST Inputs'!$G$30="simple",0,IF(L$2&gt;'CREST Inputs'!$G$15,0,-'CREST Inputs'!$G$41*L$26))</f>
        <v>-14721.077376</v>
      </c>
      <c r="M33" s="71">
        <f>IF('CREST Inputs'!$G$30="simple",0,IF(M$2&gt;'CREST Inputs'!$G$15,0,-'CREST Inputs'!$G$41*M$26))</f>
        <v>-15015.49892352</v>
      </c>
      <c r="N33" s="71">
        <f>IF('CREST Inputs'!$G$30="simple",0,IF(N$2&gt;'CREST Inputs'!$G$15,0,-'CREST Inputs'!$G$41*N$26))</f>
        <v>-15315.8089019904</v>
      </c>
      <c r="O33" s="71">
        <f>IF('CREST Inputs'!$G$30="simple",0,IF(O$2&gt;'CREST Inputs'!$G$15,0,-'CREST Inputs'!$G$41*O$26))</f>
        <v>-15622.125080030208</v>
      </c>
      <c r="P33" s="71">
        <f>IF('CREST Inputs'!$G$30="simple",0,IF(P$2&gt;'CREST Inputs'!$G$15,0,-'CREST Inputs'!$G$41*P$26))</f>
        <v>-15934.567581630812</v>
      </c>
      <c r="Q33" s="71">
        <f>IF('CREST Inputs'!$G$30="simple",0,IF(Q$2&gt;'CREST Inputs'!$G$15,0,-'CREST Inputs'!$G$41*Q$26))</f>
        <v>-16253.258933263429</v>
      </c>
      <c r="R33" s="71">
        <f>IF('CREST Inputs'!$G$30="simple",0,IF(R$2&gt;'CREST Inputs'!$G$15,0,-'CREST Inputs'!$G$41*R$26))</f>
        <v>-16578.324111928698</v>
      </c>
      <c r="S33" s="71">
        <f>IF('CREST Inputs'!$G$30="simple",0,IF(S$2&gt;'CREST Inputs'!$G$15,0,-'CREST Inputs'!$G$41*S$26))</f>
        <v>-16909.89059416727</v>
      </c>
      <c r="T33" s="71">
        <f>IF('CREST Inputs'!$G$30="simple",0,IF(T$2&gt;'CREST Inputs'!$G$15,0,-'CREST Inputs'!$G$41*T$26))</f>
        <v>-17248.088406050614</v>
      </c>
      <c r="U33" s="71">
        <f>IF('CREST Inputs'!$G$30="simple",0,IF(U$2&gt;'CREST Inputs'!$G$15,0,-'CREST Inputs'!$G$41*U$26))</f>
        <v>-17593.05017417163</v>
      </c>
      <c r="V33" s="71">
        <f>IF('CREST Inputs'!$G$30="simple",0,IF(V$2&gt;'CREST Inputs'!$G$15,0,-'CREST Inputs'!$G$41*V$26))</f>
        <v>-17944.911177655064</v>
      </c>
      <c r="W33" s="71">
        <f>IF('CREST Inputs'!$G$30="simple",0,IF(W$2&gt;'CREST Inputs'!$G$15,0,-'CREST Inputs'!$G$41*W$26))</f>
        <v>-18303.809401208164</v>
      </c>
      <c r="X33" s="71">
        <f>IF('CREST Inputs'!$G$30="simple",0,IF(X$2&gt;'CREST Inputs'!$G$15,0,-'CREST Inputs'!$G$41*X$26))</f>
        <v>-18669.88558923233</v>
      </c>
      <c r="Y33" s="71">
        <f>IF('CREST Inputs'!$G$30="simple",0,IF(Y$2&gt;'CREST Inputs'!$G$15,0,-'CREST Inputs'!$G$41*Y$26))</f>
        <v>-19043.283301016978</v>
      </c>
      <c r="Z33" s="71">
        <f>IF('CREST Inputs'!$G$30="simple",0,IF(Z$2&gt;'CREST Inputs'!$G$15,0,-'CREST Inputs'!$G$41*Z$26))</f>
        <v>-19424.148967037316</v>
      </c>
      <c r="AA33" s="71">
        <f>IF('CREST Inputs'!$G$30="simple",0,IF(AA$2&gt;'CREST Inputs'!$G$15,0,-'CREST Inputs'!$G$41*AA$26))</f>
        <v>-19812.631946378064</v>
      </c>
      <c r="AB33" s="71">
        <f>IF('CREST Inputs'!$G$30="simple",0,IF(AB$2&gt;'CREST Inputs'!$G$15,0,-'CREST Inputs'!$G$41*AB$26))</f>
        <v>-20208.884585305626</v>
      </c>
      <c r="AC33" s="71">
        <f>IF('CREST Inputs'!$G$30="simple",0,IF(AC$2&gt;'CREST Inputs'!$G$15,0,-'CREST Inputs'!$G$41*AC$26))</f>
        <v>-20613.06227701174</v>
      </c>
      <c r="AD33" s="71">
        <f>IF('CREST Inputs'!$G$30="simple",0,IF(AD$2&gt;'CREST Inputs'!$G$15,0,-'CREST Inputs'!$G$41*AD$26))</f>
        <v>-21025.323522551975</v>
      </c>
      <c r="AE33" s="71">
        <f>IF('CREST Inputs'!$G$30="simple",0,IF(AE$2&gt;'CREST Inputs'!$G$15,0,-'CREST Inputs'!$G$41*AE$26))</f>
        <v>-21445.82999300301</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-74313.20627385065</v>
      </c>
      <c r="H35" s="43">
        <f aca="true" t="shared" si="5" ref="H35:AJ35">SUM(H28:H34)</f>
        <v>-75139.47039932766</v>
      </c>
      <c r="I35" s="43">
        <f t="shared" si="5"/>
        <v>-76005.3598073142</v>
      </c>
      <c r="J35" s="43">
        <f t="shared" si="5"/>
        <v>-76910.85850346049</v>
      </c>
      <c r="K35" s="43">
        <f t="shared" si="5"/>
        <v>-77855.97847102971</v>
      </c>
      <c r="L35" s="43">
        <f t="shared" si="5"/>
        <v>-78840.7592400378</v>
      </c>
      <c r="M35" s="43">
        <f t="shared" si="5"/>
        <v>-79865.2674824405</v>
      </c>
      <c r="N35" s="43">
        <f t="shared" si="5"/>
        <v>-80929.59663267518</v>
      </c>
      <c r="O35" s="43">
        <f t="shared" si="5"/>
        <v>-82033.86653289406</v>
      </c>
      <c r="P35" s="43">
        <f t="shared" si="5"/>
        <v>-83178.22310225251</v>
      </c>
      <c r="Q35" s="43">
        <f t="shared" si="5"/>
        <v>-84362.83802964361</v>
      </c>
      <c r="R35" s="43">
        <f t="shared" si="5"/>
        <v>-85587.90848929543</v>
      </c>
      <c r="S35" s="43">
        <f t="shared" si="5"/>
        <v>-86853.65687867322</v>
      </c>
      <c r="T35" s="43">
        <f t="shared" si="5"/>
        <v>-88160.33057815285</v>
      </c>
      <c r="U35" s="43">
        <f t="shared" si="5"/>
        <v>-89508.20173195536</v>
      </c>
      <c r="V35" s="43">
        <f t="shared" si="5"/>
        <v>-90897.56704985554</v>
      </c>
      <c r="W35" s="43">
        <f t="shared" si="5"/>
        <v>-92328.74762919958</v>
      </c>
      <c r="X35" s="43">
        <f t="shared" si="5"/>
        <v>-93802.08879678838</v>
      </c>
      <c r="Y35" s="43">
        <f t="shared" si="5"/>
        <v>-95317.95997020375</v>
      </c>
      <c r="Z35" s="43">
        <f>SUM(Z28:Z34)</f>
        <v>-96876.75453817566</v>
      </c>
      <c r="AA35" s="43">
        <f t="shared" si="5"/>
        <v>-98478.88975960716</v>
      </c>
      <c r="AB35" s="43">
        <f t="shared" si="5"/>
        <v>-100124.80668089389</v>
      </c>
      <c r="AC35" s="43">
        <f t="shared" si="5"/>
        <v>-101814.97007119303</v>
      </c>
      <c r="AD35" s="43">
        <f t="shared" si="5"/>
        <v>-103549.86837531433</v>
      </c>
      <c r="AE35" s="43">
        <f t="shared" si="5"/>
        <v>-105330.01368392361</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-74313.20627385065</v>
      </c>
      <c r="H36" s="49">
        <f aca="true" t="shared" si="6" ref="H36:AJ36">IF(H35=0,"",H35)</f>
        <v>-75139.47039932766</v>
      </c>
      <c r="I36" s="49">
        <f t="shared" si="6"/>
        <v>-76005.3598073142</v>
      </c>
      <c r="J36" s="49">
        <f t="shared" si="6"/>
        <v>-76910.85850346049</v>
      </c>
      <c r="K36" s="49">
        <f t="shared" si="6"/>
        <v>-77855.97847102971</v>
      </c>
      <c r="L36" s="49">
        <f t="shared" si="6"/>
        <v>-78840.7592400378</v>
      </c>
      <c r="M36" s="49">
        <f t="shared" si="6"/>
        <v>-79865.2674824405</v>
      </c>
      <c r="N36" s="49">
        <f t="shared" si="6"/>
        <v>-80929.59663267518</v>
      </c>
      <c r="O36" s="49">
        <f t="shared" si="6"/>
        <v>-82033.86653289406</v>
      </c>
      <c r="P36" s="49">
        <f t="shared" si="6"/>
        <v>-83178.22310225251</v>
      </c>
      <c r="Q36" s="49">
        <f t="shared" si="6"/>
        <v>-84362.83802964361</v>
      </c>
      <c r="R36" s="49">
        <f t="shared" si="6"/>
        <v>-85587.90848929543</v>
      </c>
      <c r="S36" s="49">
        <f t="shared" si="6"/>
        <v>-86853.65687867322</v>
      </c>
      <c r="T36" s="49">
        <f t="shared" si="6"/>
        <v>-88160.33057815285</v>
      </c>
      <c r="U36" s="49">
        <f t="shared" si="6"/>
        <v>-89508.20173195536</v>
      </c>
      <c r="V36" s="49">
        <f t="shared" si="6"/>
        <v>-90897.56704985554</v>
      </c>
      <c r="W36" s="49">
        <f t="shared" si="6"/>
        <v>-92328.74762919958</v>
      </c>
      <c r="X36" s="49">
        <f t="shared" si="6"/>
        <v>-93802.08879678838</v>
      </c>
      <c r="Y36" s="49">
        <f t="shared" si="6"/>
        <v>-95317.95997020375</v>
      </c>
      <c r="Z36" s="49">
        <f t="shared" si="6"/>
        <v>-96876.75453817566</v>
      </c>
      <c r="AA36" s="49">
        <f t="shared" si="6"/>
        <v>-98478.88975960716</v>
      </c>
      <c r="AB36" s="49">
        <f t="shared" si="6"/>
        <v>-100124.80668089389</v>
      </c>
      <c r="AC36" s="49">
        <f t="shared" si="6"/>
        <v>-101814.97007119303</v>
      </c>
      <c r="AD36" s="49">
        <f t="shared" si="6"/>
        <v>-103549.86837531433</v>
      </c>
      <c r="AE36" s="49">
        <f t="shared" si="6"/>
        <v>-105330.01368392361</v>
      </c>
      <c r="AF36" s="49">
        <f t="shared" si="6"/>
      </c>
      <c r="AG36" s="49">
        <f t="shared" si="6"/>
      </c>
      <c r="AH36" s="49">
        <f t="shared" si="6"/>
      </c>
      <c r="AI36" s="49">
        <f t="shared" si="6"/>
      </c>
      <c r="AJ36" s="49">
        <f t="shared" si="6"/>
      </c>
    </row>
    <row r="37" spans="2:36" s="27" customFormat="1" ht="15">
      <c r="B37" s="44" t="s">
        <v>294</v>
      </c>
      <c r="C37" s="44"/>
      <c r="D37" s="44"/>
      <c r="E37" s="66" t="s">
        <v>50</v>
      </c>
      <c r="F37" s="45"/>
      <c r="G37" s="455">
        <f>IF(G$2&gt;'CREST Inputs'!$G$15,0,G35*100/G5)</f>
        <v>-2.0523974335464716</v>
      </c>
      <c r="H37" s="455">
        <f>IF(H$2&gt;'CREST Inputs'!$G$15,0,H35*100/H5)</f>
        <v>-2.085645594280718</v>
      </c>
      <c r="I37" s="455">
        <f>IF(I$2&gt;'CREST Inputs'!$G$15,0,I35*100/I5)</f>
        <v>-2.1202814861081256</v>
      </c>
      <c r="J37" s="455">
        <f>IF(J$2&gt;'CREST Inputs'!$G$15,0,J35*100/J5)</f>
        <v>-2.156323322870125</v>
      </c>
      <c r="K37" s="455">
        <f>IF(K$2&gt;'CREST Inputs'!$G$15,0,K35*100/K5)</f>
        <v>-2.193790278166192</v>
      </c>
      <c r="L37" s="455">
        <f>IF(L$2&gt;'CREST Inputs'!$G$15,0,L35*100/L5)</f>
        <v>-2.232702494328959</v>
      </c>
      <c r="M37" s="455">
        <f>IF(M$2&gt;'CREST Inputs'!$G$15,0,M35*100/M5)</f>
        <v>-2.2730810920812967</v>
      </c>
      <c r="N37" s="455">
        <f>IF(N$2&gt;'CREST Inputs'!$G$15,0,N35*100/N5)</f>
        <v>-2.3149481808787384</v>
      </c>
      <c r="O37" s="455">
        <f>IF(O$2&gt;'CREST Inputs'!$G$15,0,O35*100/O5)</f>
        <v>-2.3583268699411164</v>
      </c>
      <c r="P37" s="455">
        <f>IF(P$2&gt;'CREST Inputs'!$G$15,0,P35*100/P5)</f>
        <v>-2.4032412799777862</v>
      </c>
      <c r="Q37" s="455">
        <f>IF(Q$2&gt;'CREST Inputs'!$G$15,0,Q35*100/Q5)</f>
        <v>-2.4497165556113085</v>
      </c>
      <c r="R37" s="455">
        <f>IF(R$2&gt;'CREST Inputs'!$G$15,0,R35*100/R5)</f>
        <v>-2.4977788785049575</v>
      </c>
      <c r="S37" s="455">
        <f>IF(S$2&gt;'CREST Inputs'!$G$15,0,S35*100/S5)</f>
        <v>-2.547455481199937</v>
      </c>
      <c r="T37" s="455">
        <f>IF(T$2&gt;'CREST Inputs'!$G$15,0,T35*100/T5)</f>
        <v>-2.598774661668681</v>
      </c>
      <c r="U37" s="455">
        <f>IF(U$2&gt;'CREST Inputs'!$G$15,0,U35*100/U5)</f>
        <v>-2.651765798591118</v>
      </c>
      <c r="V37" s="455">
        <f>IF(V$2&gt;'CREST Inputs'!$G$15,0,V35*100/V5)</f>
        <v>-2.706459367361299</v>
      </c>
      <c r="W37" s="455">
        <f>IF(W$2&gt;'CREST Inputs'!$G$15,0,W35*100/W5)</f>
        <v>-2.762886956832283</v>
      </c>
      <c r="X37" s="455">
        <f>IF(X$2&gt;'CREST Inputs'!$G$15,0,X35*100/X5)</f>
        <v>-2.821081286807701</v>
      </c>
      <c r="Y37" s="455">
        <f>IF(Y$2&gt;'CREST Inputs'!$G$15,0,Y35*100/Y5)</f>
        <v>-2.8810762262889353</v>
      </c>
      <c r="Z37" s="455">
        <f>IF(Z$2&gt;'CREST Inputs'!$G$15,0,Z35*100/Z5)</f>
        <v>-2.942906812487361</v>
      </c>
      <c r="AA37" s="455">
        <f>IF(AA$2&gt;'CREST Inputs'!$G$15,0,AA35*100/AA5)</f>
        <v>-3.006609270611627</v>
      </c>
      <c r="AB37" s="455">
        <f>IF(AB$2&gt;'CREST Inputs'!$G$15,0,AB35*100/AB5)</f>
        <v>-3.0722210344404934</v>
      </c>
      <c r="AC37" s="455">
        <f>IF(AC$2&gt;'CREST Inputs'!$G$15,0,AC35*100/AC5)</f>
        <v>-3.139780767692262</v>
      </c>
      <c r="AD37" s="455">
        <f>IF(AD$2&gt;'CREST Inputs'!$G$15,0,AD35*100/AD5)</f>
        <v>-3.2093283862023867</v>
      </c>
      <c r="AE37" s="455">
        <f>IF(AE$2&gt;'CREST Inputs'!$G$15,0,AE35*100/AE5)</f>
        <v>-3.2809050809213756</v>
      </c>
      <c r="AF37" s="455">
        <f>IF(AF$2&gt;'CREST Inputs'!$G$15,0,AF35*100/AF5)</f>
        <v>0</v>
      </c>
      <c r="AG37" s="455">
        <f>IF(AG$2&gt;'CREST Inputs'!$G$15,0,AG35*100/AG5)</f>
        <v>0</v>
      </c>
      <c r="AH37" s="455">
        <f>IF(AH$2&gt;'CREST Inputs'!$G$15,0,AH35*100/AH5)</f>
        <v>0</v>
      </c>
      <c r="AI37" s="455">
        <f>IF(AI$2&gt;'CREST Inputs'!$G$15,0,AI35*100/AI5)</f>
        <v>0</v>
      </c>
      <c r="AJ37" s="455">
        <f>IF(AJ$2&gt;'CREST Inputs'!$G$15,0,AJ35*100/AJ5)</f>
        <v>0</v>
      </c>
    </row>
    <row r="38" s="27" customFormat="1" ht="15">
      <c r="E38" s="66"/>
    </row>
    <row r="39" spans="2:36" s="27" customFormat="1" ht="15.75">
      <c r="B39" s="32" t="s">
        <v>104</v>
      </c>
      <c r="C39" s="32"/>
      <c r="D39" s="32"/>
      <c r="E39" s="64" t="s">
        <v>0</v>
      </c>
      <c r="F39" s="29"/>
      <c r="G39" s="43">
        <f aca="true" t="shared" si="7" ref="G39:AJ39">G23+G35</f>
        <v>361437.59509300627</v>
      </c>
      <c r="H39" s="43">
        <f t="shared" si="7"/>
        <v>359218.2733378996</v>
      </c>
      <c r="I39" s="43">
        <f t="shared" si="7"/>
        <v>356970.1434402835</v>
      </c>
      <c r="J39" s="43">
        <f t="shared" si="7"/>
        <v>354693.16730880755</v>
      </c>
      <c r="K39" s="43">
        <f t="shared" si="7"/>
        <v>352387.2791449372</v>
      </c>
      <c r="L39" s="43">
        <f t="shared" si="7"/>
        <v>350052.3858724613</v>
      </c>
      <c r="M39" s="43">
        <f t="shared" si="7"/>
        <v>347688.3675409601</v>
      </c>
      <c r="N39" s="43">
        <f t="shared" si="7"/>
        <v>345295.07770392415</v>
      </c>
      <c r="O39" s="43">
        <f t="shared" si="7"/>
        <v>342872.3437721899</v>
      </c>
      <c r="P39" s="43">
        <f t="shared" si="7"/>
        <v>336568.1154914737</v>
      </c>
      <c r="Q39" s="43">
        <f t="shared" si="7"/>
        <v>329848.83561868884</v>
      </c>
      <c r="R39" s="43">
        <f>R23+R35</f>
        <v>326566.10687170376</v>
      </c>
      <c r="S39" s="43">
        <f t="shared" si="7"/>
        <v>323252.98848642927</v>
      </c>
      <c r="T39" s="43">
        <f t="shared" si="7"/>
        <v>319909.1816410326</v>
      </c>
      <c r="U39" s="43">
        <f t="shared" si="7"/>
        <v>316534.36300704244</v>
      </c>
      <c r="V39" s="43">
        <f t="shared" si="7"/>
        <v>34329.294688950744</v>
      </c>
      <c r="W39" s="43">
        <f t="shared" si="7"/>
        <v>33837.08333564484</v>
      </c>
      <c r="X39" s="43">
        <f t="shared" si="7"/>
        <v>34230.51256898754</v>
      </c>
      <c r="Y39" s="43">
        <f t="shared" si="7"/>
        <v>34609.226675477534</v>
      </c>
      <c r="Z39" s="43">
        <f t="shared" si="7"/>
        <v>34973.246708081584</v>
      </c>
      <c r="AA39" s="43">
        <f t="shared" si="7"/>
        <v>35322.57602477462</v>
      </c>
      <c r="AB39" s="43">
        <f t="shared" si="7"/>
        <v>35657.200463230474</v>
      </c>
      <c r="AC39" s="43">
        <f t="shared" si="7"/>
        <v>35977.088498934085</v>
      </c>
      <c r="AD39" s="43">
        <f t="shared" si="7"/>
        <v>36282.191387062994</v>
      </c>
      <c r="AE39" s="43">
        <f t="shared" si="7"/>
        <v>36132.82985072682</v>
      </c>
      <c r="AF39" s="43">
        <f t="shared" si="7"/>
        <v>8.003553375601769E-13</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1.7683458919001362</v>
      </c>
      <c r="F41" s="47">
        <f>IF(OR('CREST Inputs'!$G$51=0,'CREST Inputs'!$G$51=""),"N/A",MIN(G41:AJ41))</f>
        <v>1.6901134641778806</v>
      </c>
      <c r="G41" s="47">
        <f>IF(OR('CREST Inputs'!$G$51=0,'CREST Inputs'!$G$51=""),"N/A",IF(G$2&gt;'CREST Inputs'!$G$52,"N/A",(G39+SUM(G47:G48))/-G85))</f>
        <v>1.7932085417475665</v>
      </c>
      <c r="H41" s="47">
        <f>IF(OR('CREST Inputs'!$G$51=0,'CREST Inputs'!$G$51=""),"N/A",IF(H$2&gt;'CREST Inputs'!$G$52,"N/A",(H39+SUM(H47:H48))/-H85))</f>
        <v>1.78088438062844</v>
      </c>
      <c r="I41" s="47">
        <f>IF(OR('CREST Inputs'!$G$51=0,'CREST Inputs'!$G$51=""),"N/A",IF(I$2&gt;'CREST Inputs'!$G$52,"N/A",(I39+SUM(I47:I48))/-I85))</f>
        <v>1.7684002444227758</v>
      </c>
      <c r="J41" s="47">
        <f>IF(OR('CREST Inputs'!$G$51=0,'CREST Inputs'!$G$51=""),"N/A",IF(J$2&gt;'CREST Inputs'!$G$52,"N/A",(J39+SUM(J47:J48))/-J85))</f>
        <v>1.7557559216047147</v>
      </c>
      <c r="K41" s="47">
        <f>IF(OR('CREST Inputs'!$G$51=0,'CREST Inputs'!$G$51=""),"N/A",IF(K$2&gt;'CREST Inputs'!$G$52,"N/A",(K39+SUM(K47:K48))/-K85))</f>
        <v>1.7429510467870661</v>
      </c>
      <c r="L41" s="47">
        <f>IF(OR('CREST Inputs'!$G$51=0,'CREST Inputs'!$G$51=""),"N/A",IF(L$2&gt;'CREST Inputs'!$G$52,"N/A",(L39+SUM(L47:L48))/-L85))</f>
        <v>1.729985103106415</v>
      </c>
      <c r="M41" s="47">
        <f>IF(OR('CREST Inputs'!$G$51=0,'CREST Inputs'!$G$51=""),"N/A",IF(M$2&gt;'CREST Inputs'!$G$52,"N/A",(M39+SUM(M47:M48))/-M85))</f>
        <v>1.7168574244636268</v>
      </c>
      <c r="N41" s="47">
        <f>IF(OR('CREST Inputs'!$G$51=0,'CREST Inputs'!$G$51=""),"N/A",IF(N$2&gt;'CREST Inputs'!$G$52,"N/A",(N39+SUM(N47:N48))/-N85))</f>
        <v>1.703567197623589</v>
      </c>
      <c r="O41" s="47">
        <f>IF(OR('CREST Inputs'!$G$51=0,'CREST Inputs'!$G$51=""),"N/A",IF(O$2&gt;'CREST Inputs'!$G$52,"N/A",(O39+SUM(O47:O48))/-O85))</f>
        <v>1.6901134641778806</v>
      </c>
      <c r="P41" s="47">
        <f>IF(OR('CREST Inputs'!$G$51=0,'CREST Inputs'!$G$51=""),"N/A",IF(P$2&gt;'CREST Inputs'!$G$52,"N/A",(P39+SUM(P47:P48))/-P85))</f>
        <v>1.8690032994689747</v>
      </c>
      <c r="Q41" s="47">
        <f>IF(OR('CREST Inputs'!$G$51=0,'CREST Inputs'!$G$51=""),"N/A",IF(Q$2&gt;'CREST Inputs'!$G$52,"N/A",(Q39+SUM(Q47:Q48))/-Q85))</f>
        <v>1.8316903287083546</v>
      </c>
      <c r="R41" s="47">
        <f>IF(OR('CREST Inputs'!$G$51=0,'CREST Inputs'!$G$51=""),"N/A",IF(R$2&gt;'CREST Inputs'!$G$52,"N/A",(R39+SUM(R47:R48))/-R85))</f>
        <v>1.8134609404300934</v>
      </c>
      <c r="S41" s="47">
        <f>IF(OR('CREST Inputs'!$G$51=0,'CREST Inputs'!$G$51=""),"N/A",IF(S$2&gt;'CREST Inputs'!$G$52,"N/A",(S39+SUM(S47:S48))/-S85))</f>
        <v>1.7950627948286684</v>
      </c>
      <c r="T41" s="47">
        <f>IF(OR('CREST Inputs'!$G$51=0,'CREST Inputs'!$G$51=""),"N/A",IF(T$2&gt;'CREST Inputs'!$G$52,"N/A",(T39+SUM(T47:T48))/-T85))</f>
        <v>1.7764942325104367</v>
      </c>
      <c r="U41" s="47">
        <f>IF(OR('CREST Inputs'!$G$51=0,'CREST Inputs'!$G$51=""),"N/A",IF(U$2&gt;'CREST Inputs'!$G$52,"N/A",(U39+SUM(U47:U48))/-U85))</f>
        <v>1.7577534579934375</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c>
      <c r="L42" s="226">
        <f t="shared" si="8"/>
      </c>
      <c r="M42" s="226">
        <f t="shared" si="8"/>
      </c>
      <c r="N42" s="226">
        <f t="shared" si="8"/>
      </c>
      <c r="O42" s="226">
        <f t="shared" si="8"/>
        <v>9</v>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-104938.28469698383</v>
      </c>
      <c r="H43" s="41">
        <f aca="true" t="shared" si="9" ref="H43:AJ43">H86</f>
        <v>-100429.8459416719</v>
      </c>
      <c r="I43" s="41">
        <f t="shared" si="9"/>
        <v>-95650.90086104127</v>
      </c>
      <c r="J43" s="41">
        <f t="shared" si="9"/>
        <v>-90585.2190755728</v>
      </c>
      <c r="K43" s="41">
        <f t="shared" si="9"/>
        <v>-85215.59638297622</v>
      </c>
      <c r="L43" s="41">
        <f t="shared" si="9"/>
        <v>-79523.79632882384</v>
      </c>
      <c r="M43" s="41">
        <f t="shared" si="9"/>
        <v>-73490.48827142232</v>
      </c>
      <c r="N43" s="41">
        <f t="shared" si="9"/>
        <v>-67095.1817305767</v>
      </c>
      <c r="O43" s="41">
        <f t="shared" si="9"/>
        <v>-60316.15679728036</v>
      </c>
      <c r="P43" s="41">
        <f t="shared" si="9"/>
        <v>-53130.39036798622</v>
      </c>
      <c r="Q43" s="41">
        <f t="shared" si="9"/>
        <v>-45513.47795293446</v>
      </c>
      <c r="R43" s="41">
        <f t="shared" si="9"/>
        <v>-37439.55079297958</v>
      </c>
      <c r="S43" s="41">
        <f t="shared" si="9"/>
        <v>-28881.188003427396</v>
      </c>
      <c r="T43" s="41">
        <f t="shared" si="9"/>
        <v>-19809.323446502098</v>
      </c>
      <c r="U43" s="41">
        <f t="shared" si="9"/>
        <v>-10193.147016161272</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256499.31039602245</v>
      </c>
      <c r="H44" s="49">
        <f aca="true" t="shared" si="10" ref="H44:AJ44">H39+H43</f>
        <v>258788.4273962277</v>
      </c>
      <c r="I44" s="49">
        <f t="shared" si="10"/>
        <v>261319.24257924221</v>
      </c>
      <c r="J44" s="49">
        <f t="shared" si="10"/>
        <v>264107.94823323475</v>
      </c>
      <c r="K44" s="49">
        <f t="shared" si="10"/>
        <v>267171.68276196095</v>
      </c>
      <c r="L44" s="49">
        <f t="shared" si="10"/>
        <v>270528.58954363747</v>
      </c>
      <c r="M44" s="49">
        <f t="shared" si="10"/>
        <v>274197.87926953775</v>
      </c>
      <c r="N44" s="49">
        <f t="shared" si="10"/>
        <v>278199.8959733475</v>
      </c>
      <c r="O44" s="49">
        <f t="shared" si="10"/>
        <v>282556.18697490956</v>
      </c>
      <c r="P44" s="49">
        <f t="shared" si="10"/>
        <v>283437.7251234875</v>
      </c>
      <c r="Q44" s="49">
        <f t="shared" si="10"/>
        <v>284335.3576657544</v>
      </c>
      <c r="R44" s="49">
        <f t="shared" si="10"/>
        <v>289126.55607872416</v>
      </c>
      <c r="S44" s="49">
        <f t="shared" si="10"/>
        <v>294371.80048300186</v>
      </c>
      <c r="T44" s="49">
        <f t="shared" si="10"/>
        <v>300099.85819453053</v>
      </c>
      <c r="U44" s="49">
        <f t="shared" si="10"/>
        <v>306341.21599088114</v>
      </c>
      <c r="V44" s="49">
        <f t="shared" si="10"/>
        <v>34329.294688950744</v>
      </c>
      <c r="W44" s="49">
        <f t="shared" si="10"/>
        <v>33837.08333564484</v>
      </c>
      <c r="X44" s="49">
        <f t="shared" si="10"/>
        <v>34230.51256898754</v>
      </c>
      <c r="Y44" s="49">
        <f t="shared" si="10"/>
        <v>34609.226675477534</v>
      </c>
      <c r="Z44" s="49">
        <f t="shared" si="10"/>
        <v>34973.246708081584</v>
      </c>
      <c r="AA44" s="49">
        <f t="shared" si="10"/>
        <v>35322.57602477462</v>
      </c>
      <c r="AB44" s="49">
        <f t="shared" si="10"/>
        <v>35657.200463230474</v>
      </c>
      <c r="AC44" s="49">
        <f t="shared" si="10"/>
        <v>35977.088498934085</v>
      </c>
      <c r="AD44" s="49">
        <f t="shared" si="10"/>
        <v>36282.191387062994</v>
      </c>
      <c r="AE44" s="49">
        <f t="shared" si="10"/>
        <v>36132.82985072682</v>
      </c>
      <c r="AF44" s="49">
        <f t="shared" si="10"/>
        <v>8.003553375601769E-13</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-75140.64592186535</v>
      </c>
      <c r="H46" s="40">
        <f aca="true" t="shared" si="11" ref="H46:AJ46">H87</f>
        <v>-79649.08467717726</v>
      </c>
      <c r="I46" s="40">
        <f t="shared" si="11"/>
        <v>-84428.0297578079</v>
      </c>
      <c r="J46" s="40">
        <f t="shared" si="11"/>
        <v>-89493.71154327638</v>
      </c>
      <c r="K46" s="40">
        <f t="shared" si="11"/>
        <v>-94863.33423587297</v>
      </c>
      <c r="L46" s="40">
        <f t="shared" si="11"/>
        <v>-100555.13429002534</v>
      </c>
      <c r="M46" s="40">
        <f t="shared" si="11"/>
        <v>-106588.44234742686</v>
      </c>
      <c r="N46" s="40">
        <f t="shared" si="11"/>
        <v>-112983.74888827247</v>
      </c>
      <c r="O46" s="40">
        <f t="shared" si="11"/>
        <v>-119762.77382156882</v>
      </c>
      <c r="P46" s="40">
        <f t="shared" si="11"/>
        <v>-126948.54025086295</v>
      </c>
      <c r="Q46" s="40">
        <f t="shared" si="11"/>
        <v>-134565.45266591472</v>
      </c>
      <c r="R46" s="40">
        <f t="shared" si="11"/>
        <v>-142639.3798258696</v>
      </c>
      <c r="S46" s="40">
        <f t="shared" si="11"/>
        <v>-151197.74261542177</v>
      </c>
      <c r="T46" s="40">
        <f t="shared" si="11"/>
        <v>-160269.60717234708</v>
      </c>
      <c r="U46" s="40">
        <f t="shared" si="11"/>
        <v>-169885.7836026879</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-38518.51851851852</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90039.46530942459</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43961.34377416317</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142840.14595563858</v>
      </c>
      <c r="H49" s="43">
        <f aca="true" t="shared" si="14" ref="H49:AJ49">H44+SUM(H46:H48)</f>
        <v>140620.8242005319</v>
      </c>
      <c r="I49" s="43">
        <f t="shared" si="14"/>
        <v>138372.6943029158</v>
      </c>
      <c r="J49" s="43">
        <f t="shared" si="14"/>
        <v>136095.71817143986</v>
      </c>
      <c r="K49" s="43">
        <f t="shared" si="14"/>
        <v>133789.83000756946</v>
      </c>
      <c r="L49" s="43">
        <f t="shared" si="14"/>
        <v>131454.93673509362</v>
      </c>
      <c r="M49" s="43">
        <f t="shared" si="14"/>
        <v>129090.91840359237</v>
      </c>
      <c r="N49" s="43">
        <f t="shared" si="14"/>
        <v>126697.6285665565</v>
      </c>
      <c r="O49" s="43">
        <f t="shared" si="14"/>
        <v>124274.89463482224</v>
      </c>
      <c r="P49" s="43">
        <f t="shared" si="14"/>
        <v>156489.18487262452</v>
      </c>
      <c r="Q49" s="43">
        <f t="shared" si="14"/>
        <v>149769.90499983967</v>
      </c>
      <c r="R49" s="43">
        <f t="shared" si="14"/>
        <v>146487.17625285455</v>
      </c>
      <c r="S49" s="43">
        <f t="shared" si="14"/>
        <v>143174.0578675801</v>
      </c>
      <c r="T49" s="43">
        <f t="shared" si="14"/>
        <v>139830.25102218345</v>
      </c>
      <c r="U49" s="43">
        <f t="shared" si="14"/>
        <v>136455.43238819324</v>
      </c>
      <c r="V49" s="43">
        <f t="shared" si="14"/>
        <v>124368.75999837533</v>
      </c>
      <c r="W49" s="43">
        <f t="shared" si="14"/>
        <v>33837.08333564484</v>
      </c>
      <c r="X49" s="43">
        <f t="shared" si="14"/>
        <v>34230.51256898754</v>
      </c>
      <c r="Y49" s="43">
        <f t="shared" si="14"/>
        <v>34609.226675477534</v>
      </c>
      <c r="Z49" s="43">
        <f t="shared" si="14"/>
        <v>34973.246708081584</v>
      </c>
      <c r="AA49" s="43">
        <f t="shared" si="14"/>
        <v>35322.57602477462</v>
      </c>
      <c r="AB49" s="43">
        <f t="shared" si="14"/>
        <v>35657.200463230474</v>
      </c>
      <c r="AC49" s="43">
        <f t="shared" si="14"/>
        <v>35977.088498934085</v>
      </c>
      <c r="AD49" s="43">
        <f t="shared" si="14"/>
        <v>36282.191387062994</v>
      </c>
      <c r="AE49" s="43">
        <f t="shared" si="14"/>
        <v>80094.17362488998</v>
      </c>
      <c r="AF49" s="43">
        <f t="shared" si="14"/>
        <v>8.003553375601769E-13</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-2388370.882619242</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142840.14595563858</v>
      </c>
      <c r="H53" s="52">
        <f aca="true" t="shared" si="15" ref="H53:AJ53">H49</f>
        <v>140620.8242005319</v>
      </c>
      <c r="I53" s="52">
        <f t="shared" si="15"/>
        <v>138372.6943029158</v>
      </c>
      <c r="J53" s="52">
        <f t="shared" si="15"/>
        <v>136095.71817143986</v>
      </c>
      <c r="K53" s="52">
        <f t="shared" si="15"/>
        <v>133789.83000756946</v>
      </c>
      <c r="L53" s="52">
        <f t="shared" si="15"/>
        <v>131454.93673509362</v>
      </c>
      <c r="M53" s="52">
        <f t="shared" si="15"/>
        <v>129090.91840359237</v>
      </c>
      <c r="N53" s="52">
        <f t="shared" si="15"/>
        <v>126697.6285665565</v>
      </c>
      <c r="O53" s="52">
        <f t="shared" si="15"/>
        <v>124274.89463482224</v>
      </c>
      <c r="P53" s="52">
        <f t="shared" si="15"/>
        <v>156489.18487262452</v>
      </c>
      <c r="Q53" s="52">
        <f t="shared" si="15"/>
        <v>149769.90499983967</v>
      </c>
      <c r="R53" s="52">
        <f t="shared" si="15"/>
        <v>146487.17625285455</v>
      </c>
      <c r="S53" s="52">
        <f t="shared" si="15"/>
        <v>143174.0578675801</v>
      </c>
      <c r="T53" s="52">
        <f t="shared" si="15"/>
        <v>139830.25102218345</v>
      </c>
      <c r="U53" s="52">
        <f t="shared" si="15"/>
        <v>136455.43238819324</v>
      </c>
      <c r="V53" s="52">
        <f t="shared" si="15"/>
        <v>124368.75999837533</v>
      </c>
      <c r="W53" s="52">
        <f t="shared" si="15"/>
        <v>33837.08333564484</v>
      </c>
      <c r="X53" s="52">
        <f t="shared" si="15"/>
        <v>34230.51256898754</v>
      </c>
      <c r="Y53" s="52">
        <f t="shared" si="15"/>
        <v>34609.226675477534</v>
      </c>
      <c r="Z53" s="52">
        <f t="shared" si="15"/>
        <v>34973.246708081584</v>
      </c>
      <c r="AA53" s="52">
        <f t="shared" si="15"/>
        <v>35322.57602477462</v>
      </c>
      <c r="AB53" s="52">
        <f t="shared" si="15"/>
        <v>35657.200463230474</v>
      </c>
      <c r="AC53" s="52">
        <f t="shared" si="15"/>
        <v>35977.088498934085</v>
      </c>
      <c r="AD53" s="52">
        <f t="shared" si="15"/>
        <v>36282.191387062994</v>
      </c>
      <c r="AE53" s="52">
        <f t="shared" si="15"/>
        <v>80094.17362488998</v>
      </c>
      <c r="AF53" s="52">
        <f t="shared" si="15"/>
        <v>8.003553375601769E-13</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-2388370.882619242</v>
      </c>
      <c r="G54" s="51">
        <f t="shared" si="16"/>
        <v>142840.14595563858</v>
      </c>
      <c r="H54" s="51">
        <f t="shared" si="16"/>
        <v>140620.8242005319</v>
      </c>
      <c r="I54" s="51">
        <f t="shared" si="16"/>
        <v>138372.6943029158</v>
      </c>
      <c r="J54" s="51">
        <f t="shared" si="16"/>
        <v>136095.71817143986</v>
      </c>
      <c r="K54" s="51">
        <f t="shared" si="16"/>
        <v>133789.83000756946</v>
      </c>
      <c r="L54" s="51">
        <f t="shared" si="16"/>
        <v>131454.93673509362</v>
      </c>
      <c r="M54" s="51">
        <f t="shared" si="16"/>
        <v>129090.91840359237</v>
      </c>
      <c r="N54" s="51">
        <f t="shared" si="16"/>
        <v>126697.6285665565</v>
      </c>
      <c r="O54" s="51">
        <f t="shared" si="16"/>
        <v>124274.89463482224</v>
      </c>
      <c r="P54" s="51">
        <f t="shared" si="16"/>
        <v>156489.18487262452</v>
      </c>
      <c r="Q54" s="51">
        <f t="shared" si="16"/>
        <v>149769.90499983967</v>
      </c>
      <c r="R54" s="51">
        <f t="shared" si="16"/>
        <v>146487.17625285455</v>
      </c>
      <c r="S54" s="51">
        <f t="shared" si="16"/>
        <v>143174.0578675801</v>
      </c>
      <c r="T54" s="51">
        <f t="shared" si="16"/>
        <v>139830.25102218345</v>
      </c>
      <c r="U54" s="51">
        <f t="shared" si="16"/>
        <v>136455.43238819324</v>
      </c>
      <c r="V54" s="51">
        <f t="shared" si="16"/>
        <v>124368.75999837533</v>
      </c>
      <c r="W54" s="51">
        <f t="shared" si="16"/>
        <v>33837.08333564484</v>
      </c>
      <c r="X54" s="51">
        <f t="shared" si="16"/>
        <v>34230.51256898754</v>
      </c>
      <c r="Y54" s="51">
        <f t="shared" si="16"/>
        <v>34609.226675477534</v>
      </c>
      <c r="Z54" s="51">
        <f t="shared" si="16"/>
        <v>34973.246708081584</v>
      </c>
      <c r="AA54" s="51">
        <f t="shared" si="16"/>
        <v>35322.57602477462</v>
      </c>
      <c r="AB54" s="51">
        <f t="shared" si="16"/>
        <v>35657.200463230474</v>
      </c>
      <c r="AC54" s="51">
        <f t="shared" si="16"/>
        <v>35977.088498934085</v>
      </c>
      <c r="AD54" s="51">
        <f t="shared" si="16"/>
        <v>36282.191387062994</v>
      </c>
      <c r="AE54" s="51">
        <f t="shared" si="16"/>
        <v>80094.17362488998</v>
      </c>
      <c r="AF54" s="51">
        <f t="shared" si="16"/>
        <v>8.003553375601769E-13</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-0.9401934820947948</v>
      </c>
      <c r="H55" s="189">
        <f>IF(ISERROR(IRR($F54:H54)),"NA",IRR($F54:H54))</f>
        <v>-0.7256146294314586</v>
      </c>
      <c r="I55" s="189">
        <f>IF(ISERROR(IRR($F54:I54)),"NA",IRR($F54:I54))</f>
        <v>-0.53935097773147</v>
      </c>
      <c r="J55" s="189">
        <f>IF(ISERROR(IRR($F54:J54)),"NA",IRR($F54:J54))</f>
        <v>-0.4056727917191977</v>
      </c>
      <c r="K55" s="189">
        <f>IF(ISERROR(IRR($F54:K54)),"NA",IRR($F54:K54))</f>
        <v>-0.3107051267224592</v>
      </c>
      <c r="L55" s="189">
        <f>IF(ISERROR(IRR($F54:L54)),"NA",IRR($F54:L54))</f>
        <v>-0.2418127543804972</v>
      </c>
      <c r="M55" s="189">
        <f>IF(ISERROR(IRR($F54:M54)),"NA",IRR($F54:M54))</f>
        <v>-0.1905522419745329</v>
      </c>
      <c r="N55" s="189">
        <f>IF(ISERROR(IRR($F54:N54)),"NA",IRR($F54:N54))</f>
        <v>-0.15149268842191588</v>
      </c>
      <c r="O55" s="189">
        <f>IF(ISERROR(IRR($F54:O54)),"NA",IRR($F54:O54))</f>
        <v>-0.12109960631217065</v>
      </c>
      <c r="P55" s="189">
        <f>IF(ISERROR(IRR($F54:P54)),"NA",IRR($F54:P54))</f>
        <v>-0.09134825556346127</v>
      </c>
      <c r="Q55" s="189">
        <f>IF(ISERROR(IRR($F54:Q54)),"NA",IRR($F54:Q54))</f>
        <v>-0.06924771510638317</v>
      </c>
      <c r="R55" s="189">
        <f>IF(ISERROR(IRR($F54:R54)),"NA",IRR($F54:R54))</f>
        <v>-0.051847520388084045</v>
      </c>
      <c r="S55" s="189">
        <f>IF(ISERROR(IRR($F54:S54)),"NA",IRR($F54:S54))</f>
        <v>-0.03785363441058409</v>
      </c>
      <c r="T55" s="189">
        <f>IF(ISERROR(IRR($F54:T54)),"NA",IRR($F54:T54))</f>
        <v>-0.02641732667446861</v>
      </c>
      <c r="U55" s="189">
        <f>IF(ISERROR(IRR($F54:U54)),"NA",IRR($F54:U54))</f>
        <v>-0.016951343319601797</v>
      </c>
      <c r="V55" s="189">
        <f>IF(ISERROR(IRR($F54:V54)),"NA",IRR($F54:V54))</f>
        <v>-0.0095134152370282</v>
      </c>
      <c r="W55" s="189">
        <f>IF(ISERROR(IRR($F54:W54)),"NA",IRR($F54:W54))</f>
        <v>-0.0076553922717426115</v>
      </c>
      <c r="X55" s="189">
        <f>IF(ISERROR(IRR($F54:X54)),"NA",IRR($F54:X54))</f>
        <v>-0.005839192999146037</v>
      </c>
      <c r="Y55" s="189">
        <f>IF(ISERROR(IRR($F54:Y54)),"NA",IRR($F54:Y54))</f>
        <v>-0.004071904597741427</v>
      </c>
      <c r="Z55" s="189">
        <f>IF(ISERROR(IRR($F54:Z54)),"NA",IRR($F54:Z54))</f>
        <v>-0.002359195058805774</v>
      </c>
      <c r="AA55" s="189">
        <f>IF(ISERROR(IRR($F54:AA54)),"NA",IRR($F54:AA54))</f>
        <v>-0.0007053755720841659</v>
      </c>
      <c r="AB55" s="189">
        <f>IF(ISERROR(IRR($F54:AB54)),"NA",IRR($F54:AB54))</f>
        <v>0.0008864929515739473</v>
      </c>
      <c r="AC55" s="189">
        <f>IF(ISERROR(IRR($F54:AC54)),"NA",IRR($F54:AC54))</f>
        <v>0.002414465819144951</v>
      </c>
      <c r="AD55" s="189">
        <f>IF(ISERROR(IRR($F54:AD54)),"NA",IRR($F54:AD54))</f>
        <v>0.0038775671728457084</v>
      </c>
      <c r="AE55" s="189">
        <f>IF(ISERROR(IRR($F54:AE54)),"NA",IRR($F54:AE54))</f>
        <v>0.006854313151297697</v>
      </c>
      <c r="AF55" s="189">
        <f>IF(ISERROR(IRR($F54:AF54)),"NA",IRR($F54:AF54))</f>
        <v>0.006854313151297697</v>
      </c>
      <c r="AG55" s="189">
        <f>IF(ISERROR(IRR($F54:AG54)),"NA",IRR($F54:AG54))</f>
        <v>0.006854313151297697</v>
      </c>
      <c r="AH55" s="189">
        <f>IF(ISERROR(IRR($F54:AH54)),"NA",IRR($F54:AH54))</f>
        <v>0.006854313151297697</v>
      </c>
      <c r="AI55" s="189">
        <f>IF(ISERROR(IRR($F54:AI54)),"NA",IRR($F54:AI54))</f>
        <v>0.006854313151297697</v>
      </c>
      <c r="AJ55" s="189">
        <f>IF(ISERROR(IRR($F54:AJ54)),"NA",IRR($F54:AJ54))</f>
        <v>0.006854313151297697</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-4227281.856474601</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-69333.33333333334</v>
      </c>
      <c r="Q57" s="52">
        <f t="shared" si="17"/>
        <v>-110933.33333333334</v>
      </c>
      <c r="R57" s="52">
        <f t="shared" si="17"/>
        <v>-66560</v>
      </c>
      <c r="S57" s="52">
        <f t="shared" si="17"/>
        <v>-39936</v>
      </c>
      <c r="T57" s="52">
        <f t="shared" si="17"/>
        <v>-39936</v>
      </c>
      <c r="U57" s="52">
        <f t="shared" si="17"/>
        <v>-19968</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-3970782.546078578</v>
      </c>
      <c r="H58" s="71">
        <f>IF('CREST Inputs'!$G$73="No",0,(H$44+H$57))</f>
        <v>258788.4273962277</v>
      </c>
      <c r="I58" s="71">
        <f>IF('CREST Inputs'!$G$73="No",0,(I$44+I$57))</f>
        <v>261319.24257924221</v>
      </c>
      <c r="J58" s="71">
        <f>IF('CREST Inputs'!$G$73="No",0,(J$44+J$57))</f>
        <v>264107.94823323475</v>
      </c>
      <c r="K58" s="71">
        <f>IF('CREST Inputs'!$G$73="No",0,(K$44+K$57))</f>
        <v>267171.68276196095</v>
      </c>
      <c r="L58" s="71">
        <f>IF('CREST Inputs'!$G$73="No",0,(L$44+L$57))</f>
        <v>270528.58954363747</v>
      </c>
      <c r="M58" s="71">
        <f>IF('CREST Inputs'!$G$73="No",0,(M$44+M$57))</f>
        <v>274197.87926953775</v>
      </c>
      <c r="N58" s="71">
        <f>IF('CREST Inputs'!$G$73="No",0,(N$44+N$57))</f>
        <v>278199.8959733475</v>
      </c>
      <c r="O58" s="71">
        <f>IF('CREST Inputs'!$G$73="No",0,(O$44+O$57))</f>
        <v>282556.18697490956</v>
      </c>
      <c r="P58" s="71">
        <f>IF('CREST Inputs'!$G$73="No",0,(P$44+P$57))</f>
        <v>214104.39179015413</v>
      </c>
      <c r="Q58" s="71">
        <f>IF('CREST Inputs'!$G$73="No",0,(Q$44+Q$57))</f>
        <v>173402.02433242105</v>
      </c>
      <c r="R58" s="71">
        <f>IF('CREST Inputs'!$G$73="No",0,(R$44+R$57))</f>
        <v>222566.55607872416</v>
      </c>
      <c r="S58" s="71">
        <f>IF('CREST Inputs'!$G$73="No",0,(S$44+S$57))</f>
        <v>254435.80048300186</v>
      </c>
      <c r="T58" s="71">
        <f>IF('CREST Inputs'!$G$73="No",0,(T$44+T$57))</f>
        <v>260163.85819453053</v>
      </c>
      <c r="U58" s="71">
        <f>IF('CREST Inputs'!$G$73="No",0,(U$44+U$57))</f>
        <v>286373.21599088114</v>
      </c>
      <c r="V58" s="71">
        <f>IF('CREST Inputs'!$G$73="No",0,(V$44+V$57))</f>
        <v>34329.294688950744</v>
      </c>
      <c r="W58" s="71">
        <f>IF('CREST Inputs'!$G$73="No",0,(W$44+W$57))</f>
        <v>33837.08333564484</v>
      </c>
      <c r="X58" s="71">
        <f>IF('CREST Inputs'!$G$73="No",0,(X$44+X$57))</f>
        <v>34230.51256898754</v>
      </c>
      <c r="Y58" s="71">
        <f>IF('CREST Inputs'!$G$73="No",0,(Y$44+Y$57))</f>
        <v>34609.226675477534</v>
      </c>
      <c r="Z58" s="71">
        <f>IF('CREST Inputs'!$G$73="No",0,(Z$44+Z$57))</f>
        <v>34973.246708081584</v>
      </c>
      <c r="AA58" s="71">
        <f>IF('CREST Inputs'!$G$73="No",0,(AA$44+AA$57))</f>
        <v>35322.57602477462</v>
      </c>
      <c r="AB58" s="71">
        <f>IF('CREST Inputs'!$G$73="No",0,(AB$44+AB$57))</f>
        <v>35657.200463230474</v>
      </c>
      <c r="AC58" s="71">
        <f>IF('CREST Inputs'!$G$73="No",0,(AC$44+AC$57))</f>
        <v>35977.088498934085</v>
      </c>
      <c r="AD58" s="71">
        <f>IF('CREST Inputs'!$G$73="No",0,(AD$44+AD$57))</f>
        <v>36282.191387062994</v>
      </c>
      <c r="AE58" s="71">
        <f>IF('CREST Inputs'!$G$73="No",0,(AE$44+AE$57))</f>
        <v>36132.82985072682</v>
      </c>
      <c r="AF58" s="71">
        <f>IF('CREST Inputs'!$G$73="No",0,(AF$44+AF$57))</f>
        <v>8.003553375601769E-13</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-3970782.546078578</v>
      </c>
      <c r="H60" s="71">
        <f t="shared" si="18"/>
        <v>258788.4273962277</v>
      </c>
      <c r="I60" s="71">
        <f t="shared" si="18"/>
        <v>261319.24257924221</v>
      </c>
      <c r="J60" s="71">
        <f t="shared" si="18"/>
        <v>264107.94823323475</v>
      </c>
      <c r="K60" s="71">
        <f t="shared" si="18"/>
        <v>267171.68276196095</v>
      </c>
      <c r="L60" s="71">
        <f t="shared" si="18"/>
        <v>270528.58954363747</v>
      </c>
      <c r="M60" s="71">
        <f t="shared" si="18"/>
        <v>274197.87926953775</v>
      </c>
      <c r="N60" s="71">
        <f t="shared" si="18"/>
        <v>278199.8959733475</v>
      </c>
      <c r="O60" s="71">
        <f t="shared" si="18"/>
        <v>282556.18697490956</v>
      </c>
      <c r="P60" s="71">
        <f t="shared" si="18"/>
        <v>214104.39179015413</v>
      </c>
      <c r="Q60" s="71">
        <f t="shared" si="18"/>
        <v>173402.02433242105</v>
      </c>
      <c r="R60" s="71">
        <f t="shared" si="18"/>
        <v>222566.55607872416</v>
      </c>
      <c r="S60" s="71">
        <f t="shared" si="18"/>
        <v>254435.80048300186</v>
      </c>
      <c r="T60" s="71">
        <f t="shared" si="18"/>
        <v>260163.85819453053</v>
      </c>
      <c r="U60" s="71">
        <f t="shared" si="18"/>
        <v>286373.21599088114</v>
      </c>
      <c r="V60" s="71">
        <f t="shared" si="18"/>
        <v>34329.294688950744</v>
      </c>
      <c r="W60" s="71">
        <f t="shared" si="18"/>
        <v>33837.08333564484</v>
      </c>
      <c r="X60" s="71">
        <f t="shared" si="18"/>
        <v>34230.51256898754</v>
      </c>
      <c r="Y60" s="71">
        <f t="shared" si="18"/>
        <v>34609.226675477534</v>
      </c>
      <c r="Z60" s="71">
        <f t="shared" si="18"/>
        <v>34973.246708081584</v>
      </c>
      <c r="AA60" s="71">
        <f t="shared" si="18"/>
        <v>35322.57602477462</v>
      </c>
      <c r="AB60" s="71">
        <f t="shared" si="18"/>
        <v>35657.200463230474</v>
      </c>
      <c r="AC60" s="71">
        <f t="shared" si="18"/>
        <v>35977.088498934085</v>
      </c>
      <c r="AD60" s="71">
        <f t="shared" si="18"/>
        <v>36282.191387062994</v>
      </c>
      <c r="AE60" s="71">
        <f t="shared" si="18"/>
        <v>36132.82985072682</v>
      </c>
      <c r="AF60" s="71">
        <f t="shared" si="18"/>
        <v>8.003553375601769E-13</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-3970782.546078578</v>
      </c>
      <c r="H61" s="71">
        <f t="shared" si="19"/>
        <v>258788.4273962277</v>
      </c>
      <c r="I61" s="71">
        <f t="shared" si="19"/>
        <v>261319.24257924221</v>
      </c>
      <c r="J61" s="71">
        <f t="shared" si="19"/>
        <v>264107.94823323475</v>
      </c>
      <c r="K61" s="71">
        <f t="shared" si="19"/>
        <v>267171.68276196095</v>
      </c>
      <c r="L61" s="71">
        <f t="shared" si="19"/>
        <v>270528.58954363747</v>
      </c>
      <c r="M61" s="71">
        <f t="shared" si="19"/>
        <v>274197.87926953775</v>
      </c>
      <c r="N61" s="71">
        <f t="shared" si="19"/>
        <v>278199.8959733475</v>
      </c>
      <c r="O61" s="71">
        <f t="shared" si="19"/>
        <v>282556.18697490956</v>
      </c>
      <c r="P61" s="71">
        <f t="shared" si="19"/>
        <v>214104.39179015413</v>
      </c>
      <c r="Q61" s="71">
        <f t="shared" si="19"/>
        <v>173402.02433242105</v>
      </c>
      <c r="R61" s="71">
        <f t="shared" si="19"/>
        <v>222566.55607872416</v>
      </c>
      <c r="S61" s="71">
        <f t="shared" si="19"/>
        <v>254435.80048300186</v>
      </c>
      <c r="T61" s="71">
        <f t="shared" si="19"/>
        <v>260163.85819453053</v>
      </c>
      <c r="U61" s="71">
        <f t="shared" si="19"/>
        <v>286373.21599088114</v>
      </c>
      <c r="V61" s="71">
        <f t="shared" si="19"/>
        <v>34329.294688950744</v>
      </c>
      <c r="W61" s="71">
        <f t="shared" si="19"/>
        <v>33837.08333564484</v>
      </c>
      <c r="X61" s="71">
        <f t="shared" si="19"/>
        <v>34230.51256898754</v>
      </c>
      <c r="Y61" s="71">
        <f t="shared" si="19"/>
        <v>34609.226675477534</v>
      </c>
      <c r="Z61" s="71">
        <f t="shared" si="19"/>
        <v>34973.246708081584</v>
      </c>
      <c r="AA61" s="71">
        <f t="shared" si="19"/>
        <v>35322.57602477462</v>
      </c>
      <c r="AB61" s="71">
        <f t="shared" si="19"/>
        <v>35657.200463230474</v>
      </c>
      <c r="AC61" s="71">
        <f t="shared" si="19"/>
        <v>35977.088498934085</v>
      </c>
      <c r="AD61" s="71">
        <f t="shared" si="19"/>
        <v>36282.191387062994</v>
      </c>
      <c r="AE61" s="71">
        <f t="shared" si="19"/>
        <v>36132.82985072682</v>
      </c>
      <c r="AF61" s="71">
        <f t="shared" si="19"/>
        <v>8.003553375601769E-13</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754647.2228822338</v>
      </c>
      <c r="H63" s="71">
        <f>IF('CREST Inputs'!$G$73="No",0,-(H$60+H$64)*'CREST Inputs'!$G$74)</f>
        <v>-49182.740626653074</v>
      </c>
      <c r="I63" s="71">
        <f>IF('CREST Inputs'!$G$73="No",0,-(I$60+I$64)*'CREST Inputs'!$G$74)</f>
        <v>-49663.72205218498</v>
      </c>
      <c r="J63" s="71">
        <f>IF('CREST Inputs'!$G$73="No",0,-(J$60+J$64)*'CREST Inputs'!$G$74)</f>
        <v>-50193.71556172626</v>
      </c>
      <c r="K63" s="71">
        <f>IF('CREST Inputs'!$G$73="No",0,-(K$60+K$64)*'CREST Inputs'!$G$74)</f>
        <v>-50775.97830891068</v>
      </c>
      <c r="L63" s="71">
        <f>IF('CREST Inputs'!$G$73="No",0,-(L$60+L$64)*'CREST Inputs'!$G$74)</f>
        <v>-51413.9584427683</v>
      </c>
      <c r="M63" s="71">
        <f>IF('CREST Inputs'!$G$73="No",0,-(M$60+M$64)*'CREST Inputs'!$G$74)</f>
        <v>-52111.30695517565</v>
      </c>
      <c r="N63" s="71">
        <f>IF('CREST Inputs'!$G$73="No",0,-(N$60+N$64)*'CREST Inputs'!$G$74)</f>
        <v>-52871.89022973469</v>
      </c>
      <c r="O63" s="71">
        <f>IF('CREST Inputs'!$G$73="No",0,-(O$60+O$64)*'CREST Inputs'!$G$74)</f>
        <v>-53699.803334581564</v>
      </c>
      <c r="P63" s="71">
        <f>IF('CREST Inputs'!$G$73="No",0,-(P$60+P$64)*'CREST Inputs'!$G$74)</f>
        <v>-40690.539659718794</v>
      </c>
      <c r="Q63" s="71">
        <f>IF('CREST Inputs'!$G$73="No",0,-(Q$60+Q$64)*'CREST Inputs'!$G$74)</f>
        <v>-32955.05472437662</v>
      </c>
      <c r="R63" s="71">
        <f>IF('CREST Inputs'!$G$73="No",0,-(R$60+R$64)*'CREST Inputs'!$G$74)</f>
        <v>-42298.77398276153</v>
      </c>
      <c r="S63" s="71">
        <f>IF('CREST Inputs'!$G$73="No",0,-(S$60+S$64)*'CREST Inputs'!$G$74)</f>
        <v>-48355.52388179451</v>
      </c>
      <c r="T63" s="71">
        <f>IF('CREST Inputs'!$G$73="No",0,-(T$60+T$64)*'CREST Inputs'!$G$74)</f>
        <v>-49444.141249870525</v>
      </c>
      <c r="U63" s="71">
        <f>IF('CREST Inputs'!$G$73="No",0,-(U$60+U$64)*'CREST Inputs'!$G$74)</f>
        <v>-54425.22969906696</v>
      </c>
      <c r="V63" s="71">
        <f>IF('CREST Inputs'!$G$73="No",0,-(V$60+V$64)*'CREST Inputs'!$G$74)</f>
        <v>-6524.282455635089</v>
      </c>
      <c r="W63" s="71">
        <f>IF('CREST Inputs'!$G$73="No",0,-(W$60+W$64)*'CREST Inputs'!$G$74)</f>
        <v>-6430.737687939301</v>
      </c>
      <c r="X63" s="71">
        <f>IF('CREST Inputs'!$G$73="No",0,-(X$60+X$64)*'CREST Inputs'!$G$74)</f>
        <v>-6505.508913736082</v>
      </c>
      <c r="Y63" s="71">
        <f>IF('CREST Inputs'!$G$73="No",0,-(Y$60+Y$64)*'CREST Inputs'!$G$74)</f>
        <v>-6577.483529674505</v>
      </c>
      <c r="Z63" s="71">
        <f>IF('CREST Inputs'!$G$73="No",0,-(Z$60+Z$64)*'CREST Inputs'!$G$74)</f>
        <v>-6646.665536870905</v>
      </c>
      <c r="AA63" s="71">
        <f>IF('CREST Inputs'!$G$73="No",0,-(AA$60+AA$64)*'CREST Inputs'!$G$74)</f>
        <v>-6713.055573508416</v>
      </c>
      <c r="AB63" s="71">
        <f>IF('CREST Inputs'!$G$73="No",0,-(AB$60+AB$64)*'CREST Inputs'!$G$74)</f>
        <v>-6776.650948036951</v>
      </c>
      <c r="AC63" s="71">
        <f>IF('CREST Inputs'!$G$73="No",0,-(AC$60+AC$64)*'CREST Inputs'!$G$74)</f>
        <v>-6837.445669222423</v>
      </c>
      <c r="AD63" s="71">
        <f>IF('CREST Inputs'!$G$73="No",0,-(AD$60+AD$64)*'CREST Inputs'!$G$74)</f>
        <v>-6895.4304731113225</v>
      </c>
      <c r="AE63" s="71">
        <f>IF('CREST Inputs'!$G$73="No",0,-(AE$60+AE$64)*'CREST Inputs'!$G$74)</f>
        <v>-6867.044313130632</v>
      </c>
      <c r="AF63" s="71">
        <f>IF('CREST Inputs'!$G$73="No",0,-(AF$60+AF$64)*'CREST Inputs'!$G$74)</f>
        <v>-1.5210753190331161E-13</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377224.3418774649</v>
      </c>
      <c r="H64" s="71">
        <f>IF('CREST Inputs'!$G$73="No",0,-(H$61-IF(AND('CREST Inputs'!$Q$38="Cash",'CREST Inputs'!$Q$40="No"),'Cash Flow'!H$21,0))*'CREST Inputs'!$G$76)</f>
        <v>-24584.900602641632</v>
      </c>
      <c r="I64" s="71">
        <f>IF('CREST Inputs'!$G$73="No",0,-(I$61-IF(AND('CREST Inputs'!$Q$38="Cash",'CREST Inputs'!$Q$40="No"),'Cash Flow'!I$21,0))*'CREST Inputs'!$G$76)</f>
        <v>-24825.32804502801</v>
      </c>
      <c r="J64" s="71">
        <f>IF('CREST Inputs'!$G$73="No",0,-(J$61-IF(AND('CREST Inputs'!$Q$38="Cash",'CREST Inputs'!$Q$40="No"),'Cash Flow'!J$21,0))*'CREST Inputs'!$G$76)</f>
        <v>-25090.255082157302</v>
      </c>
      <c r="K64" s="71">
        <f>IF('CREST Inputs'!$G$73="No",0,-(K$61-IF(AND('CREST Inputs'!$Q$38="Cash",'CREST Inputs'!$Q$40="No"),'Cash Flow'!K$21,0))*'CREST Inputs'!$G$76)</f>
        <v>-25381.30986238629</v>
      </c>
      <c r="L64" s="71">
        <f>IF('CREST Inputs'!$G$73="No",0,-(L$61-IF(AND('CREST Inputs'!$Q$38="Cash",'CREST Inputs'!$Q$40="No"),'Cash Flow'!L$21,0))*'CREST Inputs'!$G$76)</f>
        <v>-25700.21600664556</v>
      </c>
      <c r="M64" s="71">
        <f>IF('CREST Inputs'!$G$73="No",0,-(M$61-IF(AND('CREST Inputs'!$Q$38="Cash",'CREST Inputs'!$Q$40="No"),'Cash Flow'!M$21,0))*'CREST Inputs'!$G$76)</f>
        <v>-26048.798530606087</v>
      </c>
      <c r="N64" s="71">
        <f>IF('CREST Inputs'!$G$73="No",0,-(N$61-IF(AND('CREST Inputs'!$Q$38="Cash",'CREST Inputs'!$Q$40="No"),'Cash Flow'!N$21,0))*'CREST Inputs'!$G$76)</f>
        <v>-26428.99011746801</v>
      </c>
      <c r="O64" s="71">
        <f>IF('CREST Inputs'!$G$73="No",0,-(O$61-IF(AND('CREST Inputs'!$Q$38="Cash",'CREST Inputs'!$Q$40="No"),'Cash Flow'!O$21,0))*'CREST Inputs'!$G$76)</f>
        <v>-26842.837762616407</v>
      </c>
      <c r="P64" s="71">
        <f>IF('CREST Inputs'!$G$73="No",0,-(P$61-IF(AND('CREST Inputs'!$Q$38="Cash",'CREST Inputs'!$Q$40="No"),'Cash Flow'!P$21,0))*'CREST Inputs'!$G$76)</f>
        <v>-20339.917220064643</v>
      </c>
      <c r="Q64" s="71">
        <f>IF('CREST Inputs'!$G$73="No",0,-(Q$61-IF(AND('CREST Inputs'!$Q$38="Cash",'CREST Inputs'!$Q$40="No"),'Cash Flow'!Q$21,0))*'CREST Inputs'!$G$76)</f>
        <v>-16473.19231158</v>
      </c>
      <c r="R64" s="71">
        <f>IF('CREST Inputs'!$G$73="No",0,-(R$61-IF(AND('CREST Inputs'!$Q$38="Cash",'CREST Inputs'!$Q$40="No"),'Cash Flow'!R$21,0))*'CREST Inputs'!$G$76)</f>
        <v>-21143.822827478794</v>
      </c>
      <c r="S64" s="71">
        <f>IF('CREST Inputs'!$G$73="No",0,-(S$61-IF(AND('CREST Inputs'!$Q$38="Cash",'CREST Inputs'!$Q$40="No"),'Cash Flow'!S$21,0))*'CREST Inputs'!$G$76)</f>
        <v>-24171.401045885177</v>
      </c>
      <c r="T64" s="71">
        <f>IF('CREST Inputs'!$G$73="No",0,-(T$61-IF(AND('CREST Inputs'!$Q$38="Cash",'CREST Inputs'!$Q$40="No"),'Cash Flow'!T$21,0))*'CREST Inputs'!$G$76)</f>
        <v>-24715.5665284804</v>
      </c>
      <c r="U64" s="71">
        <f>IF('CREST Inputs'!$G$73="No",0,-(U$61-IF(AND('CREST Inputs'!$Q$38="Cash",'CREST Inputs'!$Q$40="No"),'Cash Flow'!U$21,0))*'CREST Inputs'!$G$76)</f>
        <v>-27205.45551913371</v>
      </c>
      <c r="V64" s="71">
        <f>IF('CREST Inputs'!$G$73="No",0,-(V$61-IF(AND('CREST Inputs'!$Q$38="Cash",'CREST Inputs'!$Q$40="No"),'Cash Flow'!V$21,0))*'CREST Inputs'!$G$76)</f>
        <v>-3261.282995450321</v>
      </c>
      <c r="W64" s="71">
        <f>IF('CREST Inputs'!$G$73="No",0,-(W$61-IF(AND('CREST Inputs'!$Q$38="Cash",'CREST Inputs'!$Q$40="No"),'Cash Flow'!W$21,0))*'CREST Inputs'!$G$76)</f>
        <v>-3214.52291688626</v>
      </c>
      <c r="X64" s="71">
        <f>IF('CREST Inputs'!$G$73="No",0,-(X$61-IF(AND('CREST Inputs'!$Q$38="Cash",'CREST Inputs'!$Q$40="No"),'Cash Flow'!X$21,0))*'CREST Inputs'!$G$76)</f>
        <v>-3251.8986940538166</v>
      </c>
      <c r="Y64" s="71">
        <f>IF('CREST Inputs'!$G$73="No",0,-(Y$61-IF(AND('CREST Inputs'!$Q$38="Cash",'CREST Inputs'!$Q$40="No"),'Cash Flow'!Y$21,0))*'CREST Inputs'!$G$76)</f>
        <v>-3287.8765341703656</v>
      </c>
      <c r="Z64" s="71">
        <f>IF('CREST Inputs'!$G$73="No",0,-(Z$61-IF(AND('CREST Inputs'!$Q$38="Cash",'CREST Inputs'!$Q$40="No"),'Cash Flow'!Z$21,0))*'CREST Inputs'!$G$76)</f>
        <v>-3322.4584372677505</v>
      </c>
      <c r="AA64" s="71">
        <f>IF('CREST Inputs'!$G$73="No",0,-(AA$61-IF(AND('CREST Inputs'!$Q$38="Cash",'CREST Inputs'!$Q$40="No"),'Cash Flow'!AA$21,0))*'CREST Inputs'!$G$76)</f>
        <v>-3355.6447223535893</v>
      </c>
      <c r="AB64" s="71">
        <f>IF('CREST Inputs'!$G$73="No",0,-(AB$61-IF(AND('CREST Inputs'!$Q$38="Cash",'CREST Inputs'!$Q$40="No"),'Cash Flow'!AB$21,0))*'CREST Inputs'!$G$76)</f>
        <v>-3387.434044006895</v>
      </c>
      <c r="AC64" s="71">
        <f>IF('CREST Inputs'!$G$73="No",0,-(AC$61-IF(AND('CREST Inputs'!$Q$38="Cash",'CREST Inputs'!$Q$40="No"),'Cash Flow'!AC$21,0))*'CREST Inputs'!$G$76)</f>
        <v>-3417.8234073987383</v>
      </c>
      <c r="AD64" s="71">
        <f>IF('CREST Inputs'!$G$73="No",0,-(AD$61-IF(AND('CREST Inputs'!$Q$38="Cash",'CREST Inputs'!$Q$40="No"),'Cash Flow'!AD$21,0))*'CREST Inputs'!$G$76)</f>
        <v>-3446.8081817709844</v>
      </c>
      <c r="AE64" s="71">
        <f>IF('CREST Inputs'!$G$73="No",0,-(AE$61-IF(AND('CREST Inputs'!$Q$38="Cash",'CREST Inputs'!$Q$40="No"),'Cash Flow'!AE$21,0))*'CREST Inputs'!$G$76)</f>
        <v>-3432.618835819048</v>
      </c>
      <c r="AF64" s="71">
        <f>IF('CREST Inputs'!$G$73="No",0,-(AF$61-IF(AND('CREST Inputs'!$Q$38="Cash",'CREST Inputs'!$Q$40="No"),'Cash Flow'!AF$21,0))*'CREST Inputs'!$G$76)</f>
        <v>-7.603375706821681E-14</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1026787.5421887476</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-2388370.882619242</v>
      </c>
      <c r="G67" s="43">
        <f>G54+SUM(G63:G66)</f>
        <v>2301499.252904085</v>
      </c>
      <c r="H67" s="43">
        <f t="shared" si="20"/>
        <v>66853.1829712372</v>
      </c>
      <c r="I67" s="43">
        <f t="shared" si="20"/>
        <v>63883.6442057028</v>
      </c>
      <c r="J67" s="43">
        <f t="shared" si="20"/>
        <v>60811.74752755629</v>
      </c>
      <c r="K67" s="43">
        <f t="shared" si="20"/>
        <v>57632.54183627249</v>
      </c>
      <c r="L67" s="43">
        <f t="shared" si="20"/>
        <v>54340.76228567975</v>
      </c>
      <c r="M67" s="43">
        <f t="shared" si="20"/>
        <v>50930.81291781063</v>
      </c>
      <c r="N67" s="43">
        <f t="shared" si="20"/>
        <v>47396.7482193538</v>
      </c>
      <c r="O67" s="43">
        <f t="shared" si="20"/>
        <v>43732.25353762426</v>
      </c>
      <c r="P67" s="43">
        <f t="shared" si="20"/>
        <v>95458.72799284109</v>
      </c>
      <c r="Q67" s="43">
        <f t="shared" si="20"/>
        <v>100341.65796388304</v>
      </c>
      <c r="R67" s="43">
        <f t="shared" si="20"/>
        <v>83044.57944261422</v>
      </c>
      <c r="S67" s="43">
        <f t="shared" si="20"/>
        <v>70647.13293990042</v>
      </c>
      <c r="T67" s="43">
        <f t="shared" si="20"/>
        <v>65670.54324383252</v>
      </c>
      <c r="U67" s="43">
        <f t="shared" si="20"/>
        <v>54824.747169992566</v>
      </c>
      <c r="V67" s="43">
        <f t="shared" si="20"/>
        <v>114583.19454728992</v>
      </c>
      <c r="W67" s="43">
        <f t="shared" si="20"/>
        <v>24191.82273081928</v>
      </c>
      <c r="X67" s="43">
        <f t="shared" si="20"/>
        <v>24473.10496119764</v>
      </c>
      <c r="Y67" s="43">
        <f t="shared" si="20"/>
        <v>24743.866611632664</v>
      </c>
      <c r="Z67" s="43">
        <f t="shared" si="20"/>
        <v>25004.122733942928</v>
      </c>
      <c r="AA67" s="43">
        <f t="shared" si="20"/>
        <v>25253.875728912615</v>
      </c>
      <c r="AB67" s="43">
        <f t="shared" si="20"/>
        <v>25493.115471186626</v>
      </c>
      <c r="AC67" s="43">
        <f t="shared" si="20"/>
        <v>25721.819422312925</v>
      </c>
      <c r="AD67" s="43">
        <f t="shared" si="20"/>
        <v>25939.95273218069</v>
      </c>
      <c r="AE67" s="43">
        <f t="shared" si="20"/>
        <v>69794.5104759403</v>
      </c>
      <c r="AF67" s="43">
        <f t="shared" si="20"/>
        <v>5.722140485886485E-13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-0.036372755315074334</v>
      </c>
      <c r="H68" s="189">
        <f>IF(ISERROR(IRR($F67:H67)),"NA",IRR($F67:H67))</f>
        <v>-0.008151585116865201</v>
      </c>
      <c r="I68" s="189">
        <f>IF(ISERROR(IRR($F67:I67)),"NA",IRR($F67:I67))</f>
        <v>0.017010681755259993</v>
      </c>
      <c r="J68" s="189">
        <f>IF(ISERROR(IRR($F67:J67)),"NA",IRR($F67:J67))</f>
        <v>0.0381625458617465</v>
      </c>
      <c r="K68" s="189">
        <f>IF(ISERROR(IRR($F67:K67)),"NA",IRR($F67:K67))</f>
        <v>0.0552924360999103</v>
      </c>
      <c r="L68" s="189">
        <f>IF(ISERROR(IRR($F67:L67)),"NA",IRR($F67:L67))</f>
        <v>0.06887157527095034</v>
      </c>
      <c r="M68" s="189">
        <f>IF(ISERROR(IRR($F67:M67)),"NA",IRR($F67:M67))</f>
        <v>0.07951204843910897</v>
      </c>
      <c r="N68" s="189">
        <f>IF(ISERROR(IRR($F67:N67)),"NA",IRR($F67:N67))</f>
        <v>0.0877966756500912</v>
      </c>
      <c r="O68" s="189">
        <f>IF(ISERROR(IRR($F67:O67)),"NA",IRR($F67:O67))</f>
        <v>0.09421910071503348</v>
      </c>
      <c r="P68" s="189">
        <f>IF(ISERROR(IRR($F67:P67)),"NA",IRR($F67:P67))</f>
        <v>0.10552886001119921</v>
      </c>
      <c r="Q68" s="189">
        <f>IF(ISERROR(IRR($F67:Q67)),"NA",IRR($F67:Q67))</f>
        <v>0.11475997006208494</v>
      </c>
      <c r="R68" s="189">
        <f>IF(ISERROR(IRR($F67:R67)),"NA",IRR($F67:R67))</f>
        <v>0.12082661985269838</v>
      </c>
      <c r="S68" s="189">
        <f>IF(ISERROR(IRR($F67:S67)),"NA",IRR($F67:S67))</f>
        <v>0.1250398022456467</v>
      </c>
      <c r="T68" s="189">
        <f>IF(ISERROR(IRR($F67:T67)),"NA",IRR($F67:T67))</f>
        <v>0.12828593839152025</v>
      </c>
      <c r="U68" s="189">
        <f>IF(ISERROR(IRR($F67:U67)),"NA",IRR($F67:U67))</f>
        <v>0.13055797800794644</v>
      </c>
      <c r="V68" s="189">
        <f>IF(ISERROR(IRR($F67:V67)),"NA",IRR($F67:V67))</f>
        <v>0.13448099129237634</v>
      </c>
      <c r="W68" s="189">
        <f>IF(ISERROR(IRR($F67:W67)),"NA",IRR($F67:W67))</f>
        <v>0.13517420428300864</v>
      </c>
      <c r="X68" s="189">
        <f>IF(ISERROR(IRR($F67:X67)),"NA",IRR($F67:X67))</f>
        <v>0.13578213592817612</v>
      </c>
      <c r="Y68" s="189">
        <f>IF(ISERROR(IRR($F67:Y67)),"NA",IRR($F67:Y67))</f>
        <v>0.1363152433695325</v>
      </c>
      <c r="Z68" s="189">
        <f>IF(ISERROR(IRR($F67:Z67)),"NA",IRR($F67:Z67))</f>
        <v>0.1367827404694244</v>
      </c>
      <c r="AA68" s="189">
        <f>IF(ISERROR(IRR($F67:AA67)),"NA",IRR($F67:AA67))</f>
        <v>0.13719272634315627</v>
      </c>
      <c r="AB68" s="189">
        <f>IF(ISERROR(IRR($F67:AB67)),"NA",IRR($F67:AB67))</f>
        <v>0.13755230834883703</v>
      </c>
      <c r="AC68" s="189">
        <f>IF(ISERROR(IRR($F67:AC67)),"NA",IRR($F67:AC67))</f>
        <v>0.13786771649745932</v>
      </c>
      <c r="AD68" s="189">
        <f>IF(ISERROR(IRR($F67:AD67)),"NA",IRR($F67:AD67))</f>
        <v>0.13814440785105275</v>
      </c>
      <c r="AE68" s="189">
        <f>IF(ISERROR(IRR($F67:AE67)),"NA",IRR($F67:AE67))</f>
        <v>0.1387875665787881</v>
      </c>
      <c r="AF68" s="189">
        <f>IF(ISERROR(IRR($F67:AF67)),"NA",IRR($F67:AF67))</f>
        <v>0.1387875665787881</v>
      </c>
      <c r="AG68" s="189">
        <f>IF(ISERROR(IRR($F67:AG67)),"NA",IRR($F67:AG67))</f>
        <v>0.1387875665787881</v>
      </c>
      <c r="AH68" s="189">
        <f>IF(ISERROR(IRR($F67:AH67)),"NA",IRR($F67:AH67))</f>
        <v>0.1387875665787881</v>
      </c>
      <c r="AI68" s="189">
        <f>IF(ISERROR(IRR($F67:AI67)),"NA",IRR($F67:AI67))</f>
        <v>0.1387875665787881</v>
      </c>
      <c r="AJ68" s="189">
        <f>IF(ISERROR(IRR($F67:AJ67)),"NA",IRR($F67:AJ67))</f>
        <v>0.1387875665787881</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59" t="s">
        <v>285</v>
      </c>
      <c r="C70" s="660"/>
      <c r="D70" s="305">
        <f>IRR(F54:AJ54)</f>
        <v>0.006854313151297697</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0.1387875665787881</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61">
        <f>'CREST Inputs'!$G$62</f>
        <v>0.14</v>
      </c>
      <c r="C72" s="662"/>
      <c r="D72" s="308">
        <f>NPV('CREST Inputs'!$G$62,'Cash Flow'!F67:AJ67)</f>
        <v>-4513.849585020308</v>
      </c>
      <c r="G72" s="264">
        <f>AVERAGE(R204:S204)</f>
        <v>11.95</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3886603.136925327</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0.45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1748971.4116163973</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-180078.93061884918</v>
      </c>
      <c r="H85" s="132">
        <f aca="true" t="shared" si="21" ref="H85:AJ85">SUM(H86:H87)</f>
        <v>-180078.93061884918</v>
      </c>
      <c r="I85" s="132">
        <f t="shared" si="21"/>
        <v>-180078.93061884918</v>
      </c>
      <c r="J85" s="132">
        <f t="shared" si="21"/>
        <v>-180078.93061884918</v>
      </c>
      <c r="K85" s="132">
        <f t="shared" si="21"/>
        <v>-180078.93061884918</v>
      </c>
      <c r="L85" s="132">
        <f t="shared" si="21"/>
        <v>-180078.93061884918</v>
      </c>
      <c r="M85" s="132">
        <f t="shared" si="21"/>
        <v>-180078.93061884918</v>
      </c>
      <c r="N85" s="132">
        <f t="shared" si="21"/>
        <v>-180078.93061884918</v>
      </c>
      <c r="O85" s="132">
        <f t="shared" si="21"/>
        <v>-180078.93061884918</v>
      </c>
      <c r="P85" s="132">
        <f t="shared" si="21"/>
        <v>-180078.93061884918</v>
      </c>
      <c r="Q85" s="132">
        <f t="shared" si="21"/>
        <v>-180078.93061884918</v>
      </c>
      <c r="R85" s="132">
        <f t="shared" si="21"/>
        <v>-180078.93061884918</v>
      </c>
      <c r="S85" s="132">
        <f t="shared" si="21"/>
        <v>-180078.93061884918</v>
      </c>
      <c r="T85" s="132">
        <f t="shared" si="21"/>
        <v>-180078.93061884918</v>
      </c>
      <c r="U85" s="132">
        <f t="shared" si="21"/>
        <v>-180078.93061884918</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-104938.28469698383</v>
      </c>
      <c r="H86" s="132">
        <f>IF(H$2&gt;'CREST Inputs'!$G$52,0,IPMT('CREST Inputs'!$G$53,H$2,'CREST Inputs'!$G$52,$F$82))</f>
        <v>-100429.8459416719</v>
      </c>
      <c r="I86" s="132">
        <f>IF(I$2&gt;'CREST Inputs'!$G$52,0,IPMT('CREST Inputs'!$G$53,I$2,'CREST Inputs'!$G$52,$F$82))</f>
        <v>-95650.90086104127</v>
      </c>
      <c r="J86" s="132">
        <f>IF(J$2&gt;'CREST Inputs'!$G$52,0,IPMT('CREST Inputs'!$G$53,J$2,'CREST Inputs'!$G$52,$F$82))</f>
        <v>-90585.2190755728</v>
      </c>
      <c r="K86" s="132">
        <f>IF(K$2&gt;'CREST Inputs'!$G$52,0,IPMT('CREST Inputs'!$G$53,K$2,'CREST Inputs'!$G$52,$F$82))</f>
        <v>-85215.59638297622</v>
      </c>
      <c r="L86" s="132">
        <f>IF(L$2&gt;'CREST Inputs'!$G$52,0,IPMT('CREST Inputs'!$G$53,L$2,'CREST Inputs'!$G$52,$F$82))</f>
        <v>-79523.79632882384</v>
      </c>
      <c r="M86" s="132">
        <f>IF(M$2&gt;'CREST Inputs'!$G$52,0,IPMT('CREST Inputs'!$G$53,M$2,'CREST Inputs'!$G$52,$F$82))</f>
        <v>-73490.48827142232</v>
      </c>
      <c r="N86" s="132">
        <f>IF(N$2&gt;'CREST Inputs'!$G$52,0,IPMT('CREST Inputs'!$G$53,N$2,'CREST Inputs'!$G$52,$F$82))</f>
        <v>-67095.1817305767</v>
      </c>
      <c r="O86" s="132">
        <f>IF(O$2&gt;'CREST Inputs'!$G$52,0,IPMT('CREST Inputs'!$G$53,O$2,'CREST Inputs'!$G$52,$F$82))</f>
        <v>-60316.15679728036</v>
      </c>
      <c r="P86" s="132">
        <f>IF(P$2&gt;'CREST Inputs'!$G$52,0,IPMT('CREST Inputs'!$G$53,P$2,'CREST Inputs'!$G$52,$F$82))</f>
        <v>-53130.39036798622</v>
      </c>
      <c r="Q86" s="132">
        <f>IF(Q$2&gt;'CREST Inputs'!$G$52,0,IPMT('CREST Inputs'!$G$53,Q$2,'CREST Inputs'!$G$52,$F$82))</f>
        <v>-45513.47795293446</v>
      </c>
      <c r="R86" s="132">
        <f>IF(R$2&gt;'CREST Inputs'!$G$52,0,IPMT('CREST Inputs'!$G$53,R$2,'CREST Inputs'!$G$52,$F$82))</f>
        <v>-37439.55079297958</v>
      </c>
      <c r="S86" s="132">
        <f>IF(S$2&gt;'CREST Inputs'!$G$52,0,IPMT('CREST Inputs'!$G$53,S$2,'CREST Inputs'!$G$52,$F$82))</f>
        <v>-28881.188003427396</v>
      </c>
      <c r="T86" s="132">
        <f>IF(T$2&gt;'CREST Inputs'!$G$52,0,IPMT('CREST Inputs'!$G$53,T$2,'CREST Inputs'!$G$52,$F$82))</f>
        <v>-19809.323446502098</v>
      </c>
      <c r="U86" s="132">
        <f>IF(U$2&gt;'CREST Inputs'!$G$52,0,IPMT('CREST Inputs'!$G$53,U$2,'CREST Inputs'!$G$52,$F$82))</f>
        <v>-10193.147016161272</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-75140.64592186535</v>
      </c>
      <c r="H87" s="132">
        <f>IF(H$2&gt;'CREST Inputs'!$G$52,0,PPMT('CREST Inputs'!$G$53,H$2,'CREST Inputs'!$G$52,$F$82))</f>
        <v>-79649.08467717726</v>
      </c>
      <c r="I87" s="132">
        <f>IF(I$2&gt;'CREST Inputs'!$G$52,0,PPMT('CREST Inputs'!$G$53,I$2,'CREST Inputs'!$G$52,$F$82))</f>
        <v>-84428.0297578079</v>
      </c>
      <c r="J87" s="132">
        <f>IF(J$2&gt;'CREST Inputs'!$G$52,0,PPMT('CREST Inputs'!$G$53,J$2,'CREST Inputs'!$G$52,$F$82))</f>
        <v>-89493.71154327638</v>
      </c>
      <c r="K87" s="132">
        <f>IF(K$2&gt;'CREST Inputs'!$G$52,0,PPMT('CREST Inputs'!$G$53,K$2,'CREST Inputs'!$G$52,$F$82))</f>
        <v>-94863.33423587297</v>
      </c>
      <c r="L87" s="132">
        <f>IF(L$2&gt;'CREST Inputs'!$G$52,0,PPMT('CREST Inputs'!$G$53,L$2,'CREST Inputs'!$G$52,$F$82))</f>
        <v>-100555.13429002534</v>
      </c>
      <c r="M87" s="132">
        <f>IF(M$2&gt;'CREST Inputs'!$G$52,0,PPMT('CREST Inputs'!$G$53,M$2,'CREST Inputs'!$G$52,$F$82))</f>
        <v>-106588.44234742686</v>
      </c>
      <c r="N87" s="132">
        <f>IF(N$2&gt;'CREST Inputs'!$G$52,0,PPMT('CREST Inputs'!$G$53,N$2,'CREST Inputs'!$G$52,$F$82))</f>
        <v>-112983.74888827247</v>
      </c>
      <c r="O87" s="132">
        <f>IF(O$2&gt;'CREST Inputs'!$G$52,0,PPMT('CREST Inputs'!$G$53,O$2,'CREST Inputs'!$G$52,$F$82))</f>
        <v>-119762.77382156882</v>
      </c>
      <c r="P87" s="132">
        <f>IF(P$2&gt;'CREST Inputs'!$G$52,0,PPMT('CREST Inputs'!$G$53,P$2,'CREST Inputs'!$G$52,$F$82))</f>
        <v>-126948.54025086295</v>
      </c>
      <c r="Q87" s="132">
        <f>IF(Q$2&gt;'CREST Inputs'!$G$52,0,PPMT('CREST Inputs'!$G$53,Q$2,'CREST Inputs'!$G$52,$F$82))</f>
        <v>-134565.45266591472</v>
      </c>
      <c r="R87" s="132">
        <f>IF(R$2&gt;'CREST Inputs'!$G$52,0,PPMT('CREST Inputs'!$G$53,R$2,'CREST Inputs'!$G$52,$F$82))</f>
        <v>-142639.3798258696</v>
      </c>
      <c r="S87" s="132">
        <f>IF(S$2&gt;'CREST Inputs'!$G$52,0,PPMT('CREST Inputs'!$G$53,S$2,'CREST Inputs'!$G$52,$F$82))</f>
        <v>-151197.74261542177</v>
      </c>
      <c r="T87" s="132">
        <f>IF(T$2&gt;'CREST Inputs'!$G$52,0,PPMT('CREST Inputs'!$G$53,T$2,'CREST Inputs'!$G$52,$F$82))</f>
        <v>-160269.60717234708</v>
      </c>
      <c r="U87" s="132">
        <f>IF(U$2&gt;'CREST Inputs'!$G$52,0,PPMT('CREST Inputs'!$G$53,U$2,'CREST Inputs'!$G$52,$F$82))</f>
        <v>-169885.7836026879</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1748971.4116163973</v>
      </c>
      <c r="H90" s="134">
        <f t="shared" si="22"/>
        <v>1673830.765694532</v>
      </c>
      <c r="I90" s="134">
        <f t="shared" si="22"/>
        <v>1594181.6810173548</v>
      </c>
      <c r="J90" s="134">
        <f t="shared" si="22"/>
        <v>1509753.6512595469</v>
      </c>
      <c r="K90" s="134">
        <f t="shared" si="22"/>
        <v>1420259.9397162704</v>
      </c>
      <c r="L90" s="134">
        <f t="shared" si="22"/>
        <v>1325396.6054803974</v>
      </c>
      <c r="M90" s="134">
        <f t="shared" si="22"/>
        <v>1224841.471190372</v>
      </c>
      <c r="N90" s="134">
        <f t="shared" si="22"/>
        <v>1118253.0288429451</v>
      </c>
      <c r="O90" s="134">
        <f t="shared" si="22"/>
        <v>1005269.2799546727</v>
      </c>
      <c r="P90" s="134">
        <f t="shared" si="22"/>
        <v>885506.5061331039</v>
      </c>
      <c r="Q90" s="134">
        <f t="shared" si="22"/>
        <v>758557.9658822409</v>
      </c>
      <c r="R90" s="134">
        <f t="shared" si="22"/>
        <v>623992.5132163262</v>
      </c>
      <c r="S90" s="134">
        <f t="shared" si="22"/>
        <v>481353.13339045667</v>
      </c>
      <c r="T90" s="134">
        <f t="shared" si="22"/>
        <v>330155.3907750349</v>
      </c>
      <c r="U90" s="134">
        <f t="shared" si="22"/>
        <v>169885.78360268782</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1748971.4116163973</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-75140.64592186535</v>
      </c>
      <c r="H92" s="138">
        <f t="shared" si="23"/>
        <v>-79649.08467717726</v>
      </c>
      <c r="I92" s="138">
        <f t="shared" si="23"/>
        <v>-84428.0297578079</v>
      </c>
      <c r="J92" s="138">
        <f t="shared" si="23"/>
        <v>-89493.71154327638</v>
      </c>
      <c r="K92" s="138">
        <f t="shared" si="23"/>
        <v>-94863.33423587297</v>
      </c>
      <c r="L92" s="138">
        <f t="shared" si="23"/>
        <v>-100555.13429002534</v>
      </c>
      <c r="M92" s="138">
        <f t="shared" si="23"/>
        <v>-106588.44234742686</v>
      </c>
      <c r="N92" s="138">
        <f t="shared" si="23"/>
        <v>-112983.74888827247</v>
      </c>
      <c r="O92" s="138">
        <f t="shared" si="23"/>
        <v>-119762.77382156882</v>
      </c>
      <c r="P92" s="138">
        <f t="shared" si="23"/>
        <v>-126948.54025086295</v>
      </c>
      <c r="Q92" s="138">
        <f t="shared" si="23"/>
        <v>-134565.45266591472</v>
      </c>
      <c r="R92" s="138">
        <f t="shared" si="23"/>
        <v>-142639.3798258696</v>
      </c>
      <c r="S92" s="138">
        <f t="shared" si="23"/>
        <v>-151197.74261542177</v>
      </c>
      <c r="T92" s="138">
        <f t="shared" si="23"/>
        <v>-160269.60717234708</v>
      </c>
      <c r="U92" s="138">
        <f t="shared" si="23"/>
        <v>-169885.7836026879</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1748971.4116163973</v>
      </c>
      <c r="G93" s="134">
        <f t="shared" si="24"/>
        <v>1673830.765694532</v>
      </c>
      <c r="H93" s="134">
        <f t="shared" si="24"/>
        <v>1594181.6810173548</v>
      </c>
      <c r="I93" s="134">
        <f t="shared" si="24"/>
        <v>1509753.6512595469</v>
      </c>
      <c r="J93" s="134">
        <f t="shared" si="24"/>
        <v>1420259.9397162704</v>
      </c>
      <c r="K93" s="134">
        <f t="shared" si="24"/>
        <v>1325396.6054803974</v>
      </c>
      <c r="L93" s="134">
        <f t="shared" si="24"/>
        <v>1224841.471190372</v>
      </c>
      <c r="M93" s="134">
        <f t="shared" si="24"/>
        <v>1118253.0288429451</v>
      </c>
      <c r="N93" s="134">
        <f t="shared" si="24"/>
        <v>1005269.2799546727</v>
      </c>
      <c r="O93" s="134">
        <f t="shared" si="24"/>
        <v>885506.5061331039</v>
      </c>
      <c r="P93" s="134">
        <f t="shared" si="24"/>
        <v>758557.9658822409</v>
      </c>
      <c r="Q93" s="134">
        <f t="shared" si="24"/>
        <v>623992.5132163262</v>
      </c>
      <c r="R93" s="134">
        <f t="shared" si="24"/>
        <v>481353.13339045667</v>
      </c>
      <c r="S93" s="134">
        <f t="shared" si="24"/>
        <v>330155.3907750349</v>
      </c>
      <c r="T93" s="134">
        <f t="shared" si="24"/>
        <v>169885.78360268782</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58" t="s">
        <v>271</v>
      </c>
      <c r="D96" s="658"/>
      <c r="E96" s="658"/>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3422625.140629159</v>
      </c>
      <c r="D99" s="298">
        <f aca="true" t="shared" si="25" ref="D99:D106">C99/$C$110</f>
        <v>0.7219699067207191</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323617.74075144494</v>
      </c>
      <c r="D101" s="298">
        <f t="shared" si="25"/>
        <v>0.06826405478355764</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553121.7727422825</v>
      </c>
      <c r="D104" s="298">
        <f t="shared" si="25"/>
        <v>0.11667572645672114</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218608.9326726319</v>
      </c>
      <c r="D105" s="298">
        <f t="shared" si="25"/>
        <v>0.04611345509516223</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4227281.856474601</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222702.0407734562</v>
      </c>
      <c r="D108" s="311">
        <f>C108/$C$110</f>
        <v>0.04697685694383991</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4740675.627568974</v>
      </c>
      <c r="D110" s="298">
        <f>SUM(D99:D108)</f>
        <v>1</v>
      </c>
      <c r="E110" s="104">
        <f>SUM(E99:E108)</f>
        <v>4227281.856474601</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513393.7710943738</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4227281.856474601</v>
      </c>
      <c r="F124" s="105"/>
      <c r="G124" s="106">
        <f t="shared" si="37"/>
        <v>4227281.856474601</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4227281.856474601</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4227281.856474601</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69333.33333333334</v>
      </c>
      <c r="Q136" s="113">
        <f>IF(AND('CREST Inputs'!$G$73="Yes",Q$2&lt;='CREST Inputs'!$G$15),SUM('Cash Flow'!Q116:Q124)+Q131+Q134,0)</f>
        <v>110933.33333333334</v>
      </c>
      <c r="R136" s="113">
        <f>IF(AND('CREST Inputs'!$G$73="Yes",R$2&lt;='CREST Inputs'!$G$15),SUM('Cash Flow'!R116:R124)+R131+R134,0)</f>
        <v>66560</v>
      </c>
      <c r="S136" s="113">
        <f>IF(AND('CREST Inputs'!$G$73="Yes",S$2&lt;='CREST Inputs'!$G$15),SUM('Cash Flow'!S116:S124)+S131+S134,0)</f>
        <v>39936</v>
      </c>
      <c r="T136" s="113">
        <f>IF(AND('CREST Inputs'!$G$73="Yes",T$2&lt;='CREST Inputs'!$G$15),SUM('Cash Flow'!T116:T124)+T131+T134,0)</f>
        <v>39936</v>
      </c>
      <c r="U136" s="113">
        <f>IF(AND('CREST Inputs'!$G$73="Yes",U$2&lt;='CREST Inputs'!$G$15),SUM('Cash Flow'!U116:U124)+U131+U134,0)</f>
        <v>19968</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1204986.693188085</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19763.46666666667</v>
      </c>
      <c r="Q138" s="115">
        <f>Q136*'CREST Inputs'!$G$78</f>
        <v>31621.546666666673</v>
      </c>
      <c r="R138" s="115">
        <f>R136*'CREST Inputs'!$G$78</f>
        <v>18972.928</v>
      </c>
      <c r="S138" s="115">
        <f>S136*'CREST Inputs'!$G$78</f>
        <v>11383.756800000001</v>
      </c>
      <c r="T138" s="115">
        <f>T136*'CREST Inputs'!$G$78</f>
        <v>11383.756800000001</v>
      </c>
      <c r="U138" s="115">
        <f>U136*'CREST Inputs'!$G$78</f>
        <v>5691.8784000000005</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-3970782.546078578</v>
      </c>
      <c r="H143" s="115">
        <f aca="true" t="shared" si="42" ref="H143:AJ143">H58</f>
        <v>258788.4273962277</v>
      </c>
      <c r="I143" s="115">
        <f t="shared" si="42"/>
        <v>261319.24257924221</v>
      </c>
      <c r="J143" s="115">
        <f t="shared" si="42"/>
        <v>264107.94823323475</v>
      </c>
      <c r="K143" s="115">
        <f t="shared" si="42"/>
        <v>267171.68276196095</v>
      </c>
      <c r="L143" s="115">
        <f t="shared" si="42"/>
        <v>270528.58954363747</v>
      </c>
      <c r="M143" s="115">
        <f t="shared" si="42"/>
        <v>274197.87926953775</v>
      </c>
      <c r="N143" s="115">
        <f t="shared" si="42"/>
        <v>278199.8959733475</v>
      </c>
      <c r="O143" s="115">
        <f t="shared" si="42"/>
        <v>282556.18697490956</v>
      </c>
      <c r="P143" s="115">
        <f t="shared" si="42"/>
        <v>214104.39179015413</v>
      </c>
      <c r="Q143" s="115">
        <f t="shared" si="42"/>
        <v>173402.02433242105</v>
      </c>
      <c r="R143" s="115">
        <f t="shared" si="42"/>
        <v>222566.55607872416</v>
      </c>
      <c r="S143" s="115">
        <f t="shared" si="42"/>
        <v>254435.80048300186</v>
      </c>
      <c r="T143" s="115">
        <f t="shared" si="42"/>
        <v>260163.85819453053</v>
      </c>
      <c r="U143" s="115">
        <f t="shared" si="42"/>
        <v>286373.21599088114</v>
      </c>
      <c r="V143" s="115">
        <f t="shared" si="42"/>
        <v>34329.294688950744</v>
      </c>
      <c r="W143" s="115">
        <f t="shared" si="42"/>
        <v>33837.08333564484</v>
      </c>
      <c r="X143" s="115">
        <f t="shared" si="42"/>
        <v>34230.51256898754</v>
      </c>
      <c r="Y143" s="115">
        <f t="shared" si="42"/>
        <v>34609.226675477534</v>
      </c>
      <c r="Z143" s="115">
        <f t="shared" si="42"/>
        <v>34973.246708081584</v>
      </c>
      <c r="AA143" s="115">
        <f t="shared" si="42"/>
        <v>35322.57602477462</v>
      </c>
      <c r="AB143" s="115">
        <f t="shared" si="42"/>
        <v>35657.200463230474</v>
      </c>
      <c r="AC143" s="115">
        <f t="shared" si="42"/>
        <v>35977.088498934085</v>
      </c>
      <c r="AD143" s="115">
        <f t="shared" si="42"/>
        <v>36282.191387062994</v>
      </c>
      <c r="AE143" s="115">
        <f t="shared" si="42"/>
        <v>36132.82985072682</v>
      </c>
      <c r="AF143" s="115">
        <f t="shared" si="42"/>
        <v>8.003553375601769E-13</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3970782.546078578</v>
      </c>
      <c r="I146" s="115">
        <f aca="true" t="shared" si="43" ref="I146:AJ146">H149</f>
        <v>3711994.1186823505</v>
      </c>
      <c r="J146" s="115">
        <f t="shared" si="43"/>
        <v>3450674.8761031083</v>
      </c>
      <c r="K146" s="115">
        <f t="shared" si="43"/>
        <v>3186566.9278698736</v>
      </c>
      <c r="L146" s="115">
        <f t="shared" si="43"/>
        <v>2919395.2451079125</v>
      </c>
      <c r="M146" s="115">
        <f t="shared" si="43"/>
        <v>2648866.655564275</v>
      </c>
      <c r="N146" s="115">
        <f t="shared" si="43"/>
        <v>2374668.776294737</v>
      </c>
      <c r="O146" s="115">
        <f t="shared" si="43"/>
        <v>2096468.8803213895</v>
      </c>
      <c r="P146" s="115">
        <f t="shared" si="43"/>
        <v>1813912.69334648</v>
      </c>
      <c r="Q146" s="115">
        <f t="shared" si="43"/>
        <v>1599808.3015563258</v>
      </c>
      <c r="R146" s="115">
        <f t="shared" si="43"/>
        <v>1426406.2772239046</v>
      </c>
      <c r="S146" s="115">
        <f t="shared" si="43"/>
        <v>1203839.7211451805</v>
      </c>
      <c r="T146" s="115">
        <f t="shared" si="43"/>
        <v>949403.9206621787</v>
      </c>
      <c r="U146" s="115">
        <f t="shared" si="43"/>
        <v>689240.0624676482</v>
      </c>
      <c r="V146" s="115">
        <f t="shared" si="43"/>
        <v>402866.84647676704</v>
      </c>
      <c r="W146" s="115">
        <f t="shared" si="43"/>
        <v>368537.5517878163</v>
      </c>
      <c r="X146" s="115">
        <f t="shared" si="43"/>
        <v>334700.4684521714</v>
      </c>
      <c r="Y146" s="115">
        <f t="shared" si="43"/>
        <v>300469.95588318387</v>
      </c>
      <c r="Z146" s="115">
        <f t="shared" si="43"/>
        <v>265860.72920770635</v>
      </c>
      <c r="AA146" s="115">
        <f t="shared" si="43"/>
        <v>230887.48249962478</v>
      </c>
      <c r="AB146" s="115">
        <f t="shared" si="43"/>
        <v>195564.90647485014</v>
      </c>
      <c r="AC146" s="115">
        <f t="shared" si="43"/>
        <v>159907.70601161965</v>
      </c>
      <c r="AD146" s="115">
        <f t="shared" si="43"/>
        <v>123930.61751268557</v>
      </c>
      <c r="AE146" s="115">
        <f t="shared" si="43"/>
        <v>87648.42612562257</v>
      </c>
      <c r="AF146" s="115">
        <f t="shared" si="43"/>
        <v>51515.59627489575</v>
      </c>
      <c r="AG146" s="115">
        <f t="shared" si="43"/>
        <v>51515.59627489575</v>
      </c>
      <c r="AH146" s="115">
        <f t="shared" si="43"/>
        <v>51515.59627489575</v>
      </c>
      <c r="AI146" s="115">
        <f t="shared" si="43"/>
        <v>51515.59627489575</v>
      </c>
      <c r="AJ146" s="115">
        <f t="shared" si="43"/>
        <v>51515.59627489575</v>
      </c>
    </row>
    <row r="147" spans="2:36" ht="15.75">
      <c r="B147" s="95" t="s">
        <v>187</v>
      </c>
      <c r="C147" s="95"/>
      <c r="D147" s="95"/>
      <c r="E147" s="139"/>
      <c r="F147" s="139"/>
      <c r="G147" s="115">
        <f>IF(G$143&gt;0,0,-G$143)</f>
        <v>3970782.546078578</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0</v>
      </c>
      <c r="W147" s="115">
        <f t="shared" si="44"/>
        <v>0</v>
      </c>
      <c r="X147" s="115">
        <f t="shared" si="44"/>
        <v>0</v>
      </c>
      <c r="Y147" s="115">
        <f t="shared" si="44"/>
        <v>0</v>
      </c>
      <c r="Z147" s="115">
        <f t="shared" si="44"/>
        <v>0</v>
      </c>
      <c r="AA147" s="115">
        <f t="shared" si="44"/>
        <v>0</v>
      </c>
      <c r="AB147" s="115">
        <f t="shared" si="44"/>
        <v>0</v>
      </c>
      <c r="AC147" s="115">
        <f t="shared" si="44"/>
        <v>0</v>
      </c>
      <c r="AD147" s="115">
        <f t="shared" si="44"/>
        <v>0</v>
      </c>
      <c r="AE147" s="115">
        <f t="shared" si="44"/>
        <v>0</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-258788.4273962277</v>
      </c>
      <c r="I148" s="115">
        <f t="shared" si="45"/>
        <v>-261319.24257924221</v>
      </c>
      <c r="J148" s="115">
        <f t="shared" si="45"/>
        <v>-264107.94823323475</v>
      </c>
      <c r="K148" s="115">
        <f t="shared" si="45"/>
        <v>-267171.68276196095</v>
      </c>
      <c r="L148" s="115">
        <f t="shared" si="45"/>
        <v>-270528.58954363747</v>
      </c>
      <c r="M148" s="115">
        <f>IF(M$143&lt;=0,0,-MIN(M$143,L$149))</f>
        <v>-274197.87926953775</v>
      </c>
      <c r="N148" s="115">
        <f aca="true" t="shared" si="46" ref="N148:AJ148">IF(N$143&lt;=0,0,-MIN(N$143,M$149))</f>
        <v>-278199.8959733475</v>
      </c>
      <c r="O148" s="115">
        <f t="shared" si="46"/>
        <v>-282556.18697490956</v>
      </c>
      <c r="P148" s="115">
        <f t="shared" si="46"/>
        <v>-214104.39179015413</v>
      </c>
      <c r="Q148" s="115">
        <f t="shared" si="46"/>
        <v>-173402.02433242105</v>
      </c>
      <c r="R148" s="115">
        <f t="shared" si="46"/>
        <v>-222566.55607872416</v>
      </c>
      <c r="S148" s="115">
        <f t="shared" si="46"/>
        <v>-254435.80048300186</v>
      </c>
      <c r="T148" s="115">
        <f t="shared" si="46"/>
        <v>-260163.85819453053</v>
      </c>
      <c r="U148" s="115">
        <f t="shared" si="46"/>
        <v>-286373.21599088114</v>
      </c>
      <c r="V148" s="115">
        <f t="shared" si="46"/>
        <v>-34329.294688950744</v>
      </c>
      <c r="W148" s="115">
        <f t="shared" si="46"/>
        <v>-33837.08333564484</v>
      </c>
      <c r="X148" s="115">
        <f t="shared" si="46"/>
        <v>-34230.51256898754</v>
      </c>
      <c r="Y148" s="115">
        <f t="shared" si="46"/>
        <v>-34609.226675477534</v>
      </c>
      <c r="Z148" s="115">
        <f t="shared" si="46"/>
        <v>-34973.246708081584</v>
      </c>
      <c r="AA148" s="115">
        <f t="shared" si="46"/>
        <v>-35322.57602477462</v>
      </c>
      <c r="AB148" s="115">
        <f t="shared" si="46"/>
        <v>-35657.200463230474</v>
      </c>
      <c r="AC148" s="115">
        <f t="shared" si="46"/>
        <v>-35977.088498934085</v>
      </c>
      <c r="AD148" s="115">
        <f t="shared" si="46"/>
        <v>-36282.191387062994</v>
      </c>
      <c r="AE148" s="115">
        <f t="shared" si="46"/>
        <v>-36132.82985072682</v>
      </c>
      <c r="AF148" s="115">
        <f t="shared" si="46"/>
        <v>-8.003553375601769E-13</v>
      </c>
      <c r="AG148" s="115">
        <f t="shared" si="46"/>
        <v>0</v>
      </c>
      <c r="AH148" s="115">
        <f t="shared" si="46"/>
        <v>0</v>
      </c>
      <c r="AI148" s="115">
        <f t="shared" si="46"/>
        <v>0</v>
      </c>
      <c r="AJ148" s="115">
        <f t="shared" si="46"/>
        <v>0</v>
      </c>
    </row>
    <row r="149" spans="2:36" ht="15.75">
      <c r="B149" s="95" t="s">
        <v>188</v>
      </c>
      <c r="C149" s="95"/>
      <c r="D149" s="95"/>
      <c r="E149" s="139"/>
      <c r="F149" s="139"/>
      <c r="G149" s="115">
        <f>SUM(G146:G148)</f>
        <v>3970782.546078578</v>
      </c>
      <c r="H149" s="115">
        <f aca="true" t="shared" si="47" ref="H149:AJ149">SUM(H146:H148)</f>
        <v>3711994.1186823505</v>
      </c>
      <c r="I149" s="115">
        <f t="shared" si="47"/>
        <v>3450674.8761031083</v>
      </c>
      <c r="J149" s="115">
        <f t="shared" si="47"/>
        <v>3186566.9278698736</v>
      </c>
      <c r="K149" s="115">
        <f t="shared" si="47"/>
        <v>2919395.2451079125</v>
      </c>
      <c r="L149" s="115">
        <f t="shared" si="47"/>
        <v>2648866.655564275</v>
      </c>
      <c r="M149" s="115">
        <f t="shared" si="47"/>
        <v>2374668.776294737</v>
      </c>
      <c r="N149" s="115">
        <f t="shared" si="47"/>
        <v>2096468.8803213895</v>
      </c>
      <c r="O149" s="115">
        <f t="shared" si="47"/>
        <v>1813912.69334648</v>
      </c>
      <c r="P149" s="115">
        <f t="shared" si="47"/>
        <v>1599808.3015563258</v>
      </c>
      <c r="Q149" s="115">
        <f t="shared" si="47"/>
        <v>1426406.2772239046</v>
      </c>
      <c r="R149" s="115">
        <f t="shared" si="47"/>
        <v>1203839.7211451805</v>
      </c>
      <c r="S149" s="115">
        <f t="shared" si="47"/>
        <v>949403.9206621787</v>
      </c>
      <c r="T149" s="115">
        <f t="shared" si="47"/>
        <v>689240.0624676482</v>
      </c>
      <c r="U149" s="115">
        <f t="shared" si="47"/>
        <v>402866.84647676704</v>
      </c>
      <c r="V149" s="115">
        <f t="shared" si="47"/>
        <v>368537.5517878163</v>
      </c>
      <c r="W149" s="115">
        <f t="shared" si="47"/>
        <v>334700.4684521714</v>
      </c>
      <c r="X149" s="115">
        <f t="shared" si="47"/>
        <v>300469.95588318387</v>
      </c>
      <c r="Y149" s="115">
        <f t="shared" si="47"/>
        <v>265860.72920770635</v>
      </c>
      <c r="Z149" s="115">
        <f t="shared" si="47"/>
        <v>230887.48249962478</v>
      </c>
      <c r="AA149" s="115">
        <f t="shared" si="47"/>
        <v>195564.90647485014</v>
      </c>
      <c r="AB149" s="115">
        <f t="shared" si="47"/>
        <v>159907.70601161965</v>
      </c>
      <c r="AC149" s="115">
        <f t="shared" si="47"/>
        <v>123930.61751268557</v>
      </c>
      <c r="AD149" s="115">
        <f t="shared" si="47"/>
        <v>87648.42612562257</v>
      </c>
      <c r="AE149" s="115">
        <f t="shared" si="47"/>
        <v>51515.59627489575</v>
      </c>
      <c r="AF149" s="115">
        <f t="shared" si="47"/>
        <v>51515.59627489575</v>
      </c>
      <c r="AG149" s="115">
        <f t="shared" si="47"/>
        <v>51515.59627489575</v>
      </c>
      <c r="AH149" s="115">
        <f t="shared" si="47"/>
        <v>51515.59627489575</v>
      </c>
      <c r="AI149" s="115">
        <f t="shared" si="47"/>
        <v>51515.59627489575</v>
      </c>
      <c r="AJ149" s="115">
        <f t="shared" si="47"/>
        <v>51515.59627489575</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0</v>
      </c>
      <c r="R151" s="115">
        <f t="shared" si="48"/>
        <v>0</v>
      </c>
      <c r="S151" s="115">
        <f t="shared" si="48"/>
        <v>0</v>
      </c>
      <c r="T151" s="115">
        <f t="shared" si="48"/>
        <v>0</v>
      </c>
      <c r="U151" s="115">
        <f t="shared" si="48"/>
        <v>0</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3970782.546078578</v>
      </c>
      <c r="I154" s="115">
        <f aca="true" t="shared" si="49" ref="I154:AJ154">H157</f>
        <v>3711994.1186823505</v>
      </c>
      <c r="J154" s="115">
        <f t="shared" si="49"/>
        <v>3450674.8761031083</v>
      </c>
      <c r="K154" s="115">
        <f t="shared" si="49"/>
        <v>3186566.9278698736</v>
      </c>
      <c r="L154" s="115">
        <f t="shared" si="49"/>
        <v>2919395.2451079125</v>
      </c>
      <c r="M154" s="115">
        <f t="shared" si="49"/>
        <v>2648866.655564275</v>
      </c>
      <c r="N154" s="115">
        <f t="shared" si="49"/>
        <v>2374668.776294737</v>
      </c>
      <c r="O154" s="115">
        <f t="shared" si="49"/>
        <v>2096468.8803213895</v>
      </c>
      <c r="P154" s="115">
        <f t="shared" si="49"/>
        <v>1813912.69334648</v>
      </c>
      <c r="Q154" s="115">
        <f t="shared" si="49"/>
        <v>1599808.3015563258</v>
      </c>
      <c r="R154" s="115">
        <f t="shared" si="49"/>
        <v>1426406.2772239046</v>
      </c>
      <c r="S154" s="115">
        <f t="shared" si="49"/>
        <v>1203839.7211451805</v>
      </c>
      <c r="T154" s="115">
        <f t="shared" si="49"/>
        <v>949403.9206621787</v>
      </c>
      <c r="U154" s="115">
        <f t="shared" si="49"/>
        <v>689240.0624676482</v>
      </c>
      <c r="V154" s="115">
        <f t="shared" si="49"/>
        <v>402866.84647676704</v>
      </c>
      <c r="W154" s="115">
        <f t="shared" si="49"/>
        <v>368537.5517878163</v>
      </c>
      <c r="X154" s="115">
        <f t="shared" si="49"/>
        <v>334700.4684521714</v>
      </c>
      <c r="Y154" s="115">
        <f t="shared" si="49"/>
        <v>300469.95588318387</v>
      </c>
      <c r="Z154" s="115">
        <f t="shared" si="49"/>
        <v>265860.72920770635</v>
      </c>
      <c r="AA154" s="115">
        <f t="shared" si="49"/>
        <v>230887.48249962478</v>
      </c>
      <c r="AB154" s="115">
        <f t="shared" si="49"/>
        <v>195564.90647485014</v>
      </c>
      <c r="AC154" s="115">
        <f t="shared" si="49"/>
        <v>159907.70601161965</v>
      </c>
      <c r="AD154" s="115">
        <f t="shared" si="49"/>
        <v>123930.61751268557</v>
      </c>
      <c r="AE154" s="115">
        <f t="shared" si="49"/>
        <v>87648.42612562257</v>
      </c>
      <c r="AF154" s="115">
        <f t="shared" si="49"/>
        <v>51515.59627489575</v>
      </c>
      <c r="AG154" s="115">
        <f t="shared" si="49"/>
        <v>51515.59627489575</v>
      </c>
      <c r="AH154" s="115">
        <f t="shared" si="49"/>
        <v>51515.59627489575</v>
      </c>
      <c r="AI154" s="115">
        <f t="shared" si="49"/>
        <v>51515.59627489575</v>
      </c>
      <c r="AJ154" s="115">
        <f t="shared" si="49"/>
        <v>51515.59627489575</v>
      </c>
    </row>
    <row r="155" spans="2:36" ht="15.75">
      <c r="B155" s="95" t="s">
        <v>187</v>
      </c>
      <c r="C155" s="95"/>
      <c r="D155" s="95"/>
      <c r="E155" s="139"/>
      <c r="F155" s="139"/>
      <c r="G155" s="115">
        <f>IF(G$143&gt;0,0,-G$143)</f>
        <v>3970782.546078578</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0</v>
      </c>
      <c r="W155" s="115">
        <f t="shared" si="50"/>
        <v>0</v>
      </c>
      <c r="X155" s="115">
        <f t="shared" si="50"/>
        <v>0</v>
      </c>
      <c r="Y155" s="115">
        <f t="shared" si="50"/>
        <v>0</v>
      </c>
      <c r="Z155" s="115">
        <f t="shared" si="50"/>
        <v>0</v>
      </c>
      <c r="AA155" s="115">
        <f t="shared" si="50"/>
        <v>0</v>
      </c>
      <c r="AB155" s="115">
        <f t="shared" si="50"/>
        <v>0</v>
      </c>
      <c r="AC155" s="115">
        <f t="shared" si="50"/>
        <v>0</v>
      </c>
      <c r="AD155" s="115">
        <f t="shared" si="50"/>
        <v>0</v>
      </c>
      <c r="AE155" s="115">
        <f t="shared" si="50"/>
        <v>0</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-258788.4273962277</v>
      </c>
      <c r="I156" s="115">
        <f t="shared" si="51"/>
        <v>-261319.24257924221</v>
      </c>
      <c r="J156" s="115">
        <f t="shared" si="51"/>
        <v>-264107.94823323475</v>
      </c>
      <c r="K156" s="115">
        <f t="shared" si="51"/>
        <v>-267171.68276196095</v>
      </c>
      <c r="L156" s="115">
        <f t="shared" si="51"/>
        <v>-270528.58954363747</v>
      </c>
      <c r="M156" s="115">
        <f t="shared" si="51"/>
        <v>-274197.87926953775</v>
      </c>
      <c r="N156" s="115">
        <f t="shared" si="51"/>
        <v>-278199.8959733475</v>
      </c>
      <c r="O156" s="115">
        <f t="shared" si="51"/>
        <v>-282556.18697490956</v>
      </c>
      <c r="P156" s="115">
        <f t="shared" si="51"/>
        <v>-214104.39179015413</v>
      </c>
      <c r="Q156" s="115">
        <f t="shared" si="51"/>
        <v>-173402.02433242105</v>
      </c>
      <c r="R156" s="115">
        <f t="shared" si="51"/>
        <v>-222566.55607872416</v>
      </c>
      <c r="S156" s="115">
        <f t="shared" si="51"/>
        <v>-254435.80048300186</v>
      </c>
      <c r="T156" s="115">
        <f t="shared" si="51"/>
        <v>-260163.85819453053</v>
      </c>
      <c r="U156" s="115">
        <f t="shared" si="51"/>
        <v>-286373.21599088114</v>
      </c>
      <c r="V156" s="115">
        <f t="shared" si="51"/>
        <v>-34329.294688950744</v>
      </c>
      <c r="W156" s="115">
        <f t="shared" si="51"/>
        <v>-33837.08333564484</v>
      </c>
      <c r="X156" s="115">
        <f t="shared" si="51"/>
        <v>-34230.51256898754</v>
      </c>
      <c r="Y156" s="115">
        <f t="shared" si="51"/>
        <v>-34609.226675477534</v>
      </c>
      <c r="Z156" s="115">
        <f t="shared" si="51"/>
        <v>-34973.246708081584</v>
      </c>
      <c r="AA156" s="115">
        <f t="shared" si="51"/>
        <v>-35322.57602477462</v>
      </c>
      <c r="AB156" s="115">
        <f t="shared" si="51"/>
        <v>-35657.200463230474</v>
      </c>
      <c r="AC156" s="115">
        <f t="shared" si="51"/>
        <v>-35977.088498934085</v>
      </c>
      <c r="AD156" s="115">
        <f t="shared" si="51"/>
        <v>-36282.191387062994</v>
      </c>
      <c r="AE156" s="115">
        <f t="shared" si="51"/>
        <v>-36132.82985072682</v>
      </c>
      <c r="AF156" s="115">
        <f t="shared" si="51"/>
        <v>-8.003553375601769E-13</v>
      </c>
      <c r="AG156" s="115">
        <f t="shared" si="51"/>
        <v>0</v>
      </c>
      <c r="AH156" s="115">
        <f t="shared" si="51"/>
        <v>0</v>
      </c>
      <c r="AI156" s="115">
        <f t="shared" si="51"/>
        <v>0</v>
      </c>
      <c r="AJ156" s="115">
        <f t="shared" si="51"/>
        <v>0</v>
      </c>
    </row>
    <row r="157" spans="2:36" ht="15.75">
      <c r="B157" s="95" t="s">
        <v>188</v>
      </c>
      <c r="C157" s="95"/>
      <c r="D157" s="95"/>
      <c r="E157" s="139"/>
      <c r="F157" s="139"/>
      <c r="G157" s="115">
        <f>SUM(G154:G156)</f>
        <v>3970782.546078578</v>
      </c>
      <c r="H157" s="115">
        <f aca="true" t="shared" si="52" ref="H157:AJ157">SUM(H154:H156)</f>
        <v>3711994.1186823505</v>
      </c>
      <c r="I157" s="115">
        <f t="shared" si="52"/>
        <v>3450674.8761031083</v>
      </c>
      <c r="J157" s="115">
        <f t="shared" si="52"/>
        <v>3186566.9278698736</v>
      </c>
      <c r="K157" s="115">
        <f t="shared" si="52"/>
        <v>2919395.2451079125</v>
      </c>
      <c r="L157" s="115">
        <f t="shared" si="52"/>
        <v>2648866.655564275</v>
      </c>
      <c r="M157" s="115">
        <f t="shared" si="52"/>
        <v>2374668.776294737</v>
      </c>
      <c r="N157" s="115">
        <f t="shared" si="52"/>
        <v>2096468.8803213895</v>
      </c>
      <c r="O157" s="115">
        <f t="shared" si="52"/>
        <v>1813912.69334648</v>
      </c>
      <c r="P157" s="115">
        <f t="shared" si="52"/>
        <v>1599808.3015563258</v>
      </c>
      <c r="Q157" s="115">
        <f t="shared" si="52"/>
        <v>1426406.2772239046</v>
      </c>
      <c r="R157" s="115">
        <f t="shared" si="52"/>
        <v>1203839.7211451805</v>
      </c>
      <c r="S157" s="115">
        <f t="shared" si="52"/>
        <v>949403.9206621787</v>
      </c>
      <c r="T157" s="115">
        <f t="shared" si="52"/>
        <v>689240.0624676482</v>
      </c>
      <c r="U157" s="115">
        <f t="shared" si="52"/>
        <v>402866.84647676704</v>
      </c>
      <c r="V157" s="115">
        <f t="shared" si="52"/>
        <v>368537.5517878163</v>
      </c>
      <c r="W157" s="115">
        <f t="shared" si="52"/>
        <v>334700.4684521714</v>
      </c>
      <c r="X157" s="115">
        <f t="shared" si="52"/>
        <v>300469.95588318387</v>
      </c>
      <c r="Y157" s="115">
        <f t="shared" si="52"/>
        <v>265860.72920770635</v>
      </c>
      <c r="Z157" s="115">
        <f t="shared" si="52"/>
        <v>230887.48249962478</v>
      </c>
      <c r="AA157" s="115">
        <f t="shared" si="52"/>
        <v>195564.90647485014</v>
      </c>
      <c r="AB157" s="115">
        <f t="shared" si="52"/>
        <v>159907.70601161965</v>
      </c>
      <c r="AC157" s="115">
        <f t="shared" si="52"/>
        <v>123930.61751268557</v>
      </c>
      <c r="AD157" s="115">
        <f t="shared" si="52"/>
        <v>87648.42612562257</v>
      </c>
      <c r="AE157" s="115">
        <f t="shared" si="52"/>
        <v>51515.59627489575</v>
      </c>
      <c r="AF157" s="115">
        <f t="shared" si="52"/>
        <v>51515.59627489575</v>
      </c>
      <c r="AG157" s="115">
        <f t="shared" si="52"/>
        <v>51515.59627489575</v>
      </c>
      <c r="AH157" s="115">
        <f t="shared" si="52"/>
        <v>51515.59627489575</v>
      </c>
      <c r="AI157" s="115">
        <f t="shared" si="52"/>
        <v>51515.59627489575</v>
      </c>
      <c r="AJ157" s="115">
        <f t="shared" si="52"/>
        <v>51515.59627489575</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0</v>
      </c>
      <c r="R159" s="115">
        <f t="shared" si="53"/>
        <v>0</v>
      </c>
      <c r="S159" s="115">
        <f t="shared" si="53"/>
        <v>0</v>
      </c>
      <c r="T159" s="115">
        <f t="shared" si="53"/>
        <v>0</v>
      </c>
      <c r="U159" s="115">
        <f t="shared" si="53"/>
        <v>0</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1026787.5421887476</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1026787.5421887476</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134000.80908358775</v>
      </c>
      <c r="H192" s="132">
        <f aca="true" t="shared" si="58" ref="H192:AJ192">G197</f>
        <v>172519.32760210626</v>
      </c>
      <c r="I192" s="132">
        <f t="shared" si="58"/>
        <v>211037.84612062477</v>
      </c>
      <c r="J192" s="132">
        <f t="shared" si="58"/>
        <v>249556.36463914328</v>
      </c>
      <c r="K192" s="132">
        <f t="shared" si="58"/>
        <v>288074.8831576618</v>
      </c>
      <c r="L192" s="132">
        <f t="shared" si="58"/>
        <v>326593.40167618037</v>
      </c>
      <c r="M192" s="132">
        <f t="shared" si="58"/>
        <v>365111.9201946989</v>
      </c>
      <c r="N192" s="132">
        <f t="shared" si="58"/>
        <v>403630.43871321745</v>
      </c>
      <c r="O192" s="132">
        <f t="shared" si="58"/>
        <v>442148.957231736</v>
      </c>
      <c r="P192" s="132">
        <f t="shared" si="58"/>
        <v>480667.4757502545</v>
      </c>
      <c r="Q192" s="132">
        <f t="shared" si="58"/>
        <v>134000.80908358784</v>
      </c>
      <c r="R192" s="132">
        <f t="shared" si="58"/>
        <v>134000.80908358784</v>
      </c>
      <c r="S192" s="132">
        <f t="shared" si="58"/>
        <v>134000.80908358784</v>
      </c>
      <c r="T192" s="132">
        <f t="shared" si="58"/>
        <v>134000.80908358784</v>
      </c>
      <c r="U192" s="132">
        <f t="shared" si="58"/>
        <v>134000.80908358784</v>
      </c>
      <c r="V192" s="132">
        <f t="shared" si="58"/>
        <v>134000.80908358784</v>
      </c>
      <c r="W192" s="132">
        <f t="shared" si="58"/>
        <v>43961.34377416325</v>
      </c>
      <c r="X192" s="132">
        <f t="shared" si="58"/>
        <v>43961.34377416325</v>
      </c>
      <c r="Y192" s="132">
        <f t="shared" si="58"/>
        <v>43961.34377416325</v>
      </c>
      <c r="Z192" s="132">
        <f t="shared" si="58"/>
        <v>43961.34377416325</v>
      </c>
      <c r="AA192" s="132">
        <f t="shared" si="58"/>
        <v>43961.34377416325</v>
      </c>
      <c r="AB192" s="132">
        <f t="shared" si="58"/>
        <v>43961.34377416325</v>
      </c>
      <c r="AC192" s="132">
        <f t="shared" si="58"/>
        <v>43961.34377416325</v>
      </c>
      <c r="AD192" s="132">
        <f t="shared" si="58"/>
        <v>43961.34377416325</v>
      </c>
      <c r="AE192" s="132">
        <f t="shared" si="58"/>
        <v>43961.34377416325</v>
      </c>
      <c r="AF192" s="132">
        <f t="shared" si="58"/>
        <v>8.003553375601768E-11</v>
      </c>
      <c r="AG192" s="132">
        <f t="shared" si="58"/>
        <v>0</v>
      </c>
      <c r="AH192" s="132">
        <f t="shared" si="58"/>
        <v>0</v>
      </c>
      <c r="AI192" s="132">
        <f t="shared" si="58"/>
        <v>0</v>
      </c>
      <c r="AJ192" s="132">
        <f t="shared" si="58"/>
        <v>0</v>
      </c>
    </row>
    <row r="193" spans="2:36" ht="15.75">
      <c r="B193" s="114" t="s">
        <v>40</v>
      </c>
      <c r="C193" s="114"/>
      <c r="D193" s="114"/>
      <c r="E193" s="139"/>
      <c r="F193" s="132">
        <f>'CREST Inputs'!$Q$63</f>
        <v>90039.46530942459</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0</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-90039.46530942459</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43961.34377416317</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-43961.34377416317</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134000.80908358775</v>
      </c>
      <c r="G197" s="132">
        <f>IF(G$2&gt;'CREST Inputs'!$G$15,0,SUM(G192:G196))</f>
        <v>172519.32760210626</v>
      </c>
      <c r="H197" s="132">
        <f>IF(H$2&gt;'CREST Inputs'!$G$15,0,SUM(H192:H196))</f>
        <v>211037.84612062477</v>
      </c>
      <c r="I197" s="132">
        <f>IF(I$2&gt;'CREST Inputs'!$G$15,0,SUM(I192:I196))</f>
        <v>249556.36463914328</v>
      </c>
      <c r="J197" s="132">
        <f>IF(J$2&gt;'CREST Inputs'!$G$15,0,SUM(J192:J196))</f>
        <v>288074.8831576618</v>
      </c>
      <c r="K197" s="132">
        <f>IF(K$2&gt;'CREST Inputs'!$G$15,0,SUM(K192:K196))</f>
        <v>326593.40167618037</v>
      </c>
      <c r="L197" s="132">
        <f>IF(L$2&gt;'CREST Inputs'!$G$15,0,SUM(L192:L196))</f>
        <v>365111.9201946989</v>
      </c>
      <c r="M197" s="132">
        <f>IF(M$2&gt;'CREST Inputs'!$G$15,0,SUM(M192:M196))</f>
        <v>403630.43871321745</v>
      </c>
      <c r="N197" s="132">
        <f>IF(N$2&gt;'CREST Inputs'!$G$15,0,SUM(N192:N196))</f>
        <v>442148.957231736</v>
      </c>
      <c r="O197" s="132">
        <f>IF(O$2&gt;'CREST Inputs'!$G$15,0,SUM(O192:O196))</f>
        <v>480667.4757502545</v>
      </c>
      <c r="P197" s="132">
        <f>IF(P$2&gt;'CREST Inputs'!$G$15,0,SUM(P192:P196))</f>
        <v>134000.80908358784</v>
      </c>
      <c r="Q197" s="132">
        <f>IF(Q$2&gt;'CREST Inputs'!$G$15,0,SUM(Q192:Q196))</f>
        <v>134000.80908358784</v>
      </c>
      <c r="R197" s="132">
        <f>IF(R$2&gt;'CREST Inputs'!$G$15,0,SUM(R192:R196))</f>
        <v>134000.80908358784</v>
      </c>
      <c r="S197" s="132">
        <f>IF(S$2&gt;'CREST Inputs'!$G$15,0,SUM(S192:S196))</f>
        <v>134000.80908358784</v>
      </c>
      <c r="T197" s="132">
        <f>IF(T$2&gt;'CREST Inputs'!$G$15,0,SUM(T192:T196))</f>
        <v>134000.80908358784</v>
      </c>
      <c r="U197" s="132">
        <f>IF(U$2&gt;'CREST Inputs'!$G$15,0,SUM(U192:U196))</f>
        <v>134000.80908358784</v>
      </c>
      <c r="V197" s="132">
        <f>IF(V$2&gt;'CREST Inputs'!$G$15,0,SUM(V192:V196))</f>
        <v>43961.34377416325</v>
      </c>
      <c r="W197" s="132">
        <f>IF(W$2&gt;'CREST Inputs'!$G$15,0,SUM(W192:W196))</f>
        <v>43961.34377416325</v>
      </c>
      <c r="X197" s="132">
        <f>IF(X$2&gt;'CREST Inputs'!$G$15,0,SUM(X192:X196))</f>
        <v>43961.34377416325</v>
      </c>
      <c r="Y197" s="132">
        <f>IF(Y$2&gt;'CREST Inputs'!$G$15,0,SUM(Y192:Y196))</f>
        <v>43961.34377416325</v>
      </c>
      <c r="Z197" s="132">
        <f>IF(Z$2&gt;'CREST Inputs'!$G$15,0,SUM(Z192:Z196))</f>
        <v>43961.34377416325</v>
      </c>
      <c r="AA197" s="132">
        <f>IF(AA$2&gt;'CREST Inputs'!$G$15,0,SUM(AA192:AA196))</f>
        <v>43961.34377416325</v>
      </c>
      <c r="AB197" s="132">
        <f>IF(AB$2&gt;'CREST Inputs'!$G$15,0,SUM(AB192:AB196))</f>
        <v>43961.34377416325</v>
      </c>
      <c r="AC197" s="132">
        <f>IF(AC$2&gt;'CREST Inputs'!$G$15,0,SUM(AC192:AC196))</f>
        <v>43961.34377416325</v>
      </c>
      <c r="AD197" s="132">
        <f>IF(AD$2&gt;'CREST Inputs'!$G$15,0,SUM(AD192:AD196))</f>
        <v>43961.34377416325</v>
      </c>
      <c r="AE197" s="132">
        <f>IF(AE$2&gt;'CREST Inputs'!$G$15,0,SUM(AE192:AE196))</f>
        <v>8.003553375601768E-11</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3065.20136685694</v>
      </c>
      <c r="H199" s="132">
        <f>AVERAGE(H192,H197)*'CREST Inputs'!$Q$67</f>
        <v>3835.5717372273107</v>
      </c>
      <c r="I199" s="132">
        <f>AVERAGE(I192,I197)*'CREST Inputs'!$Q$67</f>
        <v>4605.942107597681</v>
      </c>
      <c r="J199" s="132">
        <f>AVERAGE(J192,J197)*'CREST Inputs'!$Q$67</f>
        <v>5376.312477968051</v>
      </c>
      <c r="K199" s="132">
        <f>AVERAGE(K192,K197)*'CREST Inputs'!$Q$67</f>
        <v>6146.682848338422</v>
      </c>
      <c r="L199" s="132">
        <f>AVERAGE(L192,L197)*'CREST Inputs'!$Q$67</f>
        <v>6917.053218708793</v>
      </c>
      <c r="M199" s="132">
        <f>AVERAGE(M192,M197)*'CREST Inputs'!$Q$67</f>
        <v>7687.423589079163</v>
      </c>
      <c r="N199" s="132">
        <f>AVERAGE(N192,N197)*'CREST Inputs'!$Q$67</f>
        <v>8457.793959449535</v>
      </c>
      <c r="O199" s="132">
        <f>AVERAGE(O192,O197)*'CREST Inputs'!$Q$67</f>
        <v>9228.164329819905</v>
      </c>
      <c r="P199" s="132">
        <f>AVERAGE(P192,P197)*'CREST Inputs'!$Q$67</f>
        <v>6146.682848338424</v>
      </c>
      <c r="Q199" s="132">
        <f>AVERAGE(Q192,Q197)*'CREST Inputs'!$Q$67</f>
        <v>2680.016181671757</v>
      </c>
      <c r="R199" s="132">
        <f>AVERAGE(R192,R197)*'CREST Inputs'!$Q$67</f>
        <v>2680.016181671757</v>
      </c>
      <c r="S199" s="132">
        <f>AVERAGE(S192,S197)*'CREST Inputs'!$Q$67</f>
        <v>2680.016181671757</v>
      </c>
      <c r="T199" s="132">
        <f>AVERAGE(T192,T197)*'CREST Inputs'!$Q$67</f>
        <v>2680.016181671757</v>
      </c>
      <c r="U199" s="132">
        <f>AVERAGE(U192,U197)*'CREST Inputs'!$Q$67</f>
        <v>2680.016181671757</v>
      </c>
      <c r="V199" s="132">
        <f>AVERAGE(V192,V197)*'CREST Inputs'!$Q$67</f>
        <v>1779.6215285775108</v>
      </c>
      <c r="W199" s="132">
        <f>AVERAGE(W192,W197)*'CREST Inputs'!$Q$67</f>
        <v>879.2268754832651</v>
      </c>
      <c r="X199" s="132">
        <f>AVERAGE(X192,X197)*'CREST Inputs'!$Q$67</f>
        <v>879.2268754832651</v>
      </c>
      <c r="Y199" s="132">
        <f>AVERAGE(Y192,Y197)*'CREST Inputs'!$Q$67</f>
        <v>879.2268754832651</v>
      </c>
      <c r="Z199" s="132">
        <f>AVERAGE(Z192,Z197)*'CREST Inputs'!$Q$67</f>
        <v>879.2268754832651</v>
      </c>
      <c r="AA199" s="132">
        <f>AVERAGE(AA192,AA197)*'CREST Inputs'!$Q$67</f>
        <v>879.2268754832651</v>
      </c>
      <c r="AB199" s="132">
        <f>AVERAGE(AB192,AB197)*'CREST Inputs'!$Q$67</f>
        <v>879.2268754832651</v>
      </c>
      <c r="AC199" s="132">
        <f>AVERAGE(AC192,AC197)*'CREST Inputs'!$Q$67</f>
        <v>879.2268754832651</v>
      </c>
      <c r="AD199" s="132">
        <f>AVERAGE(AD192,AD197)*'CREST Inputs'!$Q$67</f>
        <v>879.2268754832651</v>
      </c>
      <c r="AE199" s="132">
        <f>AVERAGE(AE192,AE197)*'CREST Inputs'!$Q$67</f>
        <v>439.61343774163333</v>
      </c>
      <c r="AF199" s="132">
        <f>AVERAGE(AF192,AF197)*'CREST Inputs'!$Q$67</f>
        <v>8.003553375601769E-13</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38518.51851851852</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-90039.46530942459</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-43961.34377416317</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-4513.849585020308</v>
      </c>
      <c r="H204" s="132"/>
      <c r="I204" s="132"/>
      <c r="J204" s="139"/>
      <c r="K204" s="132">
        <f>$D$72</f>
        <v>-4513.849585020308</v>
      </c>
      <c r="L204" s="132"/>
      <c r="M204" s="132"/>
      <c r="N204" s="139"/>
      <c r="O204" s="132">
        <f>$D$72</f>
        <v>-4513.849585020308</v>
      </c>
      <c r="P204" s="132"/>
      <c r="Q204" s="132"/>
      <c r="R204" s="219">
        <f>LOOKUP(MIN($P$205:$P$215),$O$205:$O$215,$N$205:$N$215)</f>
        <v>11.899999999999997</v>
      </c>
      <c r="S204" s="219">
        <f>LOOKUP(MAX($Q$205:$Q$215),$O$205:$O$215,$N$205:$N$215)</f>
        <v>12</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-1632759.3802221362</v>
      </c>
      <c r="H205" s="132"/>
      <c r="I205" s="132"/>
      <c r="J205" s="221">
        <f>LOOKUP(MIN($H$205:$H$215),$G$205:$G$215,$F$205:$F$215)</f>
        <v>10</v>
      </c>
      <c r="K205" s="132">
        <f t="dataTable" ref="K205:K215" dt2D="0" dtr="0" r1="G72"/>
        <v>-270210.8190195293</v>
      </c>
      <c r="L205" s="132"/>
      <c r="M205" s="132"/>
      <c r="N205" s="221">
        <f>LOOKUP(MIN($L$205:$L$215),$K$205:$K$215,$J$205:$J$215)</f>
        <v>11</v>
      </c>
      <c r="O205" s="132">
        <f t="dataTable" ref="O205:O215" dt2D="0" dtr="0" r1="G72"/>
        <v>-133955.96289926814</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-270210.8190195293</v>
      </c>
      <c r="H206" s="132">
        <f aca="true" t="shared" si="60" ref="H206:H215">IF(AND($G206&lt;0,$G207&gt;0),$G206,"")</f>
        <v>-270210.8190195293</v>
      </c>
      <c r="I206" s="132">
        <f aca="true" t="shared" si="61" ref="I206:I215">IF(AND($G206&gt;0,$G205&lt;0),$G206,"")</f>
      </c>
      <c r="J206" s="221">
        <f>J205+1</f>
        <v>11</v>
      </c>
      <c r="K206" s="132">
        <v>-133955.96289926814</v>
      </c>
      <c r="L206" s="132">
        <f aca="true" t="shared" si="62" ref="L206:L215">IF(AND($K206&lt;0,$K207&gt;0),$K206,"")</f>
        <v>-133955.96289926814</v>
      </c>
      <c r="M206" s="132">
        <f aca="true" t="shared" si="63" ref="M206:M215">IF(AND($K206&gt;0,$K205&lt;0),$K206,"")</f>
      </c>
      <c r="N206" s="221">
        <f>N205+0.1</f>
        <v>11.1</v>
      </c>
      <c r="O206" s="132">
        <v>-120330.477287242</v>
      </c>
      <c r="P206" s="132">
        <f>IF(AND($O206&lt;0,$O207&gt;0),$O206,"")</f>
      </c>
      <c r="Q206" s="132">
        <f>IF(AND($O206&gt;0,$O205&lt;0),$O206,"")</f>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1092337.7421830785</v>
      </c>
      <c r="H207" s="132">
        <f t="shared" si="60"/>
      </c>
      <c r="I207" s="132">
        <f t="shared" si="61"/>
        <v>1092337.7421830785</v>
      </c>
      <c r="J207" s="221">
        <f aca="true" t="shared" si="64" ref="J207:J214">J206+1</f>
        <v>12</v>
      </c>
      <c r="K207" s="132">
        <v>2298.893220992267</v>
      </c>
      <c r="L207" s="132">
        <f t="shared" si="62"/>
      </c>
      <c r="M207" s="132">
        <f t="shared" si="63"/>
        <v>2298.893220992267</v>
      </c>
      <c r="N207" s="221">
        <f aca="true" t="shared" si="65" ref="N207:N214">N206+0.1</f>
        <v>11.2</v>
      </c>
      <c r="O207" s="132">
        <v>-106704.99167521644</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2454886.3033856857</v>
      </c>
      <c r="H208" s="132">
        <f t="shared" si="60"/>
      </c>
      <c r="I208" s="132">
        <f t="shared" si="61"/>
      </c>
      <c r="J208" s="221">
        <f t="shared" si="64"/>
        <v>13</v>
      </c>
      <c r="K208" s="132">
        <v>138553.74934125328</v>
      </c>
      <c r="L208" s="132">
        <f>IF(AND($K208&lt;0,$K209&gt;0),$K208,"")</f>
      </c>
      <c r="M208" s="132">
        <f t="shared" si="63"/>
      </c>
      <c r="N208" s="221">
        <f t="shared" si="65"/>
        <v>11.299999999999999</v>
      </c>
      <c r="O208" s="132">
        <v>-93079.50606319019</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3817434.8645882946</v>
      </c>
      <c r="H209" s="132">
        <f t="shared" si="60"/>
      </c>
      <c r="I209" s="132">
        <f t="shared" si="61"/>
      </c>
      <c r="J209" s="221">
        <f t="shared" si="64"/>
        <v>14</v>
      </c>
      <c r="K209" s="132">
        <v>274808.60546151426</v>
      </c>
      <c r="L209" s="132">
        <f t="shared" si="62"/>
      </c>
      <c r="M209" s="132">
        <f t="shared" si="63"/>
      </c>
      <c r="N209" s="221">
        <f t="shared" si="65"/>
        <v>11.399999999999999</v>
      </c>
      <c r="O209" s="132">
        <v>-79454.02045116377</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5179983.425790901</v>
      </c>
      <c r="H210" s="132">
        <f t="shared" si="60"/>
      </c>
      <c r="I210" s="132">
        <f t="shared" si="61"/>
      </c>
      <c r="J210" s="221">
        <f t="shared" si="64"/>
        <v>15</v>
      </c>
      <c r="K210" s="132">
        <v>411063.461581775</v>
      </c>
      <c r="L210" s="132">
        <f t="shared" si="62"/>
      </c>
      <c r="M210" s="132">
        <f t="shared" si="63"/>
      </c>
      <c r="N210" s="221">
        <f t="shared" si="65"/>
        <v>11.499999999999998</v>
      </c>
      <c r="O210" s="132">
        <v>-65828.53483913807</v>
      </c>
      <c r="P210" s="132">
        <f t="shared" si="66"/>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6542531.98699351</v>
      </c>
      <c r="H211" s="132">
        <f t="shared" si="60"/>
      </c>
      <c r="I211" s="132">
        <f t="shared" si="61"/>
      </c>
      <c r="J211" s="221">
        <f t="shared" si="64"/>
        <v>16</v>
      </c>
      <c r="K211" s="132">
        <v>547318.3177020353</v>
      </c>
      <c r="L211" s="132">
        <f t="shared" si="62"/>
      </c>
      <c r="M211" s="132">
        <f t="shared" si="63"/>
      </c>
      <c r="N211" s="221">
        <f t="shared" si="65"/>
        <v>11.599999999999998</v>
      </c>
      <c r="O211" s="132">
        <v>-52203.049227111725</v>
      </c>
      <c r="P211" s="132">
        <f t="shared" si="66"/>
      </c>
      <c r="Q211" s="132">
        <f t="shared" si="67"/>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7905080.5481961155</v>
      </c>
      <c r="H212" s="132">
        <f t="shared" si="60"/>
      </c>
      <c r="I212" s="132">
        <f t="shared" si="61"/>
      </c>
      <c r="J212" s="221">
        <f t="shared" si="64"/>
        <v>17</v>
      </c>
      <c r="K212" s="132">
        <v>683573.1738222961</v>
      </c>
      <c r="L212" s="132">
        <f t="shared" si="62"/>
      </c>
      <c r="M212" s="132">
        <f t="shared" si="63"/>
      </c>
      <c r="N212" s="221">
        <f t="shared" si="65"/>
        <v>11.699999999999998</v>
      </c>
      <c r="O212" s="132">
        <v>-38577.563615086096</v>
      </c>
      <c r="P212" s="132">
        <f t="shared" si="66"/>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9267629.109398723</v>
      </c>
      <c r="H213" s="132">
        <f t="shared" si="60"/>
      </c>
      <c r="I213" s="132">
        <f t="shared" si="61"/>
      </c>
      <c r="J213" s="221">
        <f t="shared" si="64"/>
        <v>18</v>
      </c>
      <c r="K213" s="132">
        <v>819828.0299425574</v>
      </c>
      <c r="L213" s="132">
        <f t="shared" si="62"/>
      </c>
      <c r="M213" s="132">
        <f t="shared" si="63"/>
      </c>
      <c r="N213" s="221">
        <f t="shared" si="65"/>
        <v>11.799999999999997</v>
      </c>
      <c r="O213" s="132">
        <v>-24952.07800305996</v>
      </c>
      <c r="P213" s="132">
        <f t="shared" si="66"/>
      </c>
      <c r="Q213" s="132">
        <f t="shared" si="67"/>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10630177.670601333</v>
      </c>
      <c r="H214" s="132">
        <f t="shared" si="60"/>
      </c>
      <c r="I214" s="132">
        <f t="shared" si="61"/>
      </c>
      <c r="J214" s="221">
        <f t="shared" si="64"/>
        <v>19</v>
      </c>
      <c r="K214" s="132">
        <v>956082.8860628179</v>
      </c>
      <c r="L214" s="132">
        <f t="shared" si="62"/>
      </c>
      <c r="M214" s="132">
        <f t="shared" si="63"/>
      </c>
      <c r="N214" s="221">
        <f t="shared" si="65"/>
        <v>11.899999999999997</v>
      </c>
      <c r="O214" s="132">
        <v>-11326.59239103374</v>
      </c>
      <c r="P214" s="132">
        <f t="shared" si="66"/>
        <v>-11326.59239103374</v>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11992726.231803939</v>
      </c>
      <c r="H215" s="132">
        <f t="shared" si="60"/>
      </c>
      <c r="I215" s="132">
        <f t="shared" si="61"/>
      </c>
      <c r="J215" s="221">
        <f>LOOKUP(MAX($I$205:$I$215),$G$205:$G$215,$F$205:$F$215)</f>
        <v>20</v>
      </c>
      <c r="K215" s="132">
        <v>1092337.7421830785</v>
      </c>
      <c r="L215" s="132">
        <f t="shared" si="62"/>
      </c>
      <c r="M215" s="132">
        <f t="shared" si="63"/>
      </c>
      <c r="N215" s="221">
        <f>LOOKUP(MAX($M$205:$M$215),$K$205:$K$215,$J$205:$J$215)</f>
        <v>12</v>
      </c>
      <c r="O215" s="132">
        <v>2298.893220992267</v>
      </c>
      <c r="P215" s="132">
        <f t="shared" si="66"/>
      </c>
      <c r="Q215" s="132">
        <f t="shared" si="67"/>
        <v>2298.893220992267</v>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7" right="0.7" top="0.75" bottom="0.75" header="0.3" footer="0.3"/>
  <pageSetup fitToHeight="3" fitToWidth="3" horizontalDpi="600" verticalDpi="600" orientation="landscape" scale="47"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7"/>
  <sheetViews>
    <sheetView showGridLines="0" zoomScalePageLayoutView="70" workbookViewId="0" topLeftCell="A1">
      <selection activeCell="D23" sqref="D23"/>
    </sheetView>
  </sheetViews>
  <sheetFormatPr defaultColWidth="9.140625" defaultRowHeight="15"/>
  <cols>
    <col min="1" max="1" width="4.57421875" style="0" customWidth="1"/>
    <col min="2" max="2" width="34.140625" style="0" customWidth="1"/>
    <col min="3" max="3" width="14.140625" style="0" bestFit="1" customWidth="1"/>
    <col min="4" max="28" width="11.8515625" style="0" customWidth="1"/>
  </cols>
  <sheetData>
    <row r="3" ht="15">
      <c r="B3" s="486" t="s">
        <v>319</v>
      </c>
    </row>
    <row r="4" spans="2:3" ht="15">
      <c r="B4" t="s">
        <v>320</v>
      </c>
      <c r="C4" s="488">
        <f>'Input Assumptions'!D10</f>
        <v>0.02</v>
      </c>
    </row>
    <row r="5" ht="15">
      <c r="C5" s="488"/>
    </row>
    <row r="6" ht="15">
      <c r="C6" t="s">
        <v>325</v>
      </c>
    </row>
    <row r="7" spans="2:27" ht="19.5" thickBot="1">
      <c r="B7" s="490" t="s">
        <v>347</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56"/>
      <c r="B8" s="555" t="s">
        <v>321</v>
      </c>
      <c r="C8" s="487">
        <f>AVERAGE('ComEd C&amp;I Rates'!C5:C9)</f>
        <v>0.037616000000000004</v>
      </c>
      <c r="D8" s="487">
        <f>C8*(1+$C$4)</f>
        <v>0.038368320000000004</v>
      </c>
      <c r="E8" s="487">
        <f aca="true" t="shared" si="0" ref="E8:Q8">D8*(1+$C$4)</f>
        <v>0.03913568640000001</v>
      </c>
      <c r="F8" s="487">
        <f t="shared" si="0"/>
        <v>0.039918400128000006</v>
      </c>
      <c r="G8" s="487">
        <f t="shared" si="0"/>
        <v>0.04071676813056001</v>
      </c>
      <c r="H8" s="487">
        <f t="shared" si="0"/>
        <v>0.04153110349317121</v>
      </c>
      <c r="I8" s="487">
        <f t="shared" si="0"/>
        <v>0.042361725563034636</v>
      </c>
      <c r="J8" s="487">
        <f t="shared" si="0"/>
        <v>0.04320896007429533</v>
      </c>
      <c r="K8" s="487">
        <f t="shared" si="0"/>
        <v>0.044073139275781235</v>
      </c>
      <c r="L8" s="487">
        <f t="shared" si="0"/>
        <v>0.04495460206129686</v>
      </c>
      <c r="M8" s="487">
        <f t="shared" si="0"/>
        <v>0.045853694102522796</v>
      </c>
      <c r="N8" s="487">
        <f t="shared" si="0"/>
        <v>0.046770767984573254</v>
      </c>
      <c r="O8" s="487">
        <f t="shared" si="0"/>
        <v>0.04770618334426472</v>
      </c>
      <c r="P8" s="487">
        <f t="shared" si="0"/>
        <v>0.04866030701115002</v>
      </c>
      <c r="Q8" s="487">
        <f t="shared" si="0"/>
        <v>0.04963351315137302</v>
      </c>
      <c r="R8" s="487">
        <f aca="true" t="shared" si="1" ref="R8:AA8">Q8*(1+$C$4)</f>
        <v>0.050626183414400484</v>
      </c>
      <c r="S8" s="487">
        <f t="shared" si="1"/>
        <v>0.051638707082688494</v>
      </c>
      <c r="T8" s="487">
        <f t="shared" si="1"/>
        <v>0.052671481224342266</v>
      </c>
      <c r="U8" s="487">
        <f t="shared" si="1"/>
        <v>0.05372491084882911</v>
      </c>
      <c r="V8" s="487">
        <f t="shared" si="1"/>
        <v>0.054799409065805695</v>
      </c>
      <c r="W8" s="487">
        <f t="shared" si="1"/>
        <v>0.05589539724712181</v>
      </c>
      <c r="X8" s="487">
        <f t="shared" si="1"/>
        <v>0.05701330519206425</v>
      </c>
      <c r="Y8" s="487">
        <f t="shared" si="1"/>
        <v>0.05815357129590553</v>
      </c>
      <c r="Z8" s="487">
        <f t="shared" si="1"/>
        <v>0.059316642721823645</v>
      </c>
      <c r="AA8" s="487">
        <f t="shared" si="1"/>
        <v>0.060502975576260117</v>
      </c>
    </row>
    <row r="9" spans="1:27" ht="18" customHeight="1">
      <c r="A9" s="509"/>
      <c r="B9" s="546" t="s">
        <v>327</v>
      </c>
      <c r="C9" s="498">
        <f aca="true" t="shared" si="2" ref="C9:AA9">SUM(C8:C8)</f>
        <v>0.037616000000000004</v>
      </c>
      <c r="D9" s="498">
        <f t="shared" si="2"/>
        <v>0.038368320000000004</v>
      </c>
      <c r="E9" s="498">
        <f t="shared" si="2"/>
        <v>0.03913568640000001</v>
      </c>
      <c r="F9" s="498">
        <f t="shared" si="2"/>
        <v>0.039918400128000006</v>
      </c>
      <c r="G9" s="498">
        <f t="shared" si="2"/>
        <v>0.04071676813056001</v>
      </c>
      <c r="H9" s="498">
        <f t="shared" si="2"/>
        <v>0.04153110349317121</v>
      </c>
      <c r="I9" s="498">
        <f t="shared" si="2"/>
        <v>0.042361725563034636</v>
      </c>
      <c r="J9" s="498">
        <f t="shared" si="2"/>
        <v>0.04320896007429533</v>
      </c>
      <c r="K9" s="498">
        <f t="shared" si="2"/>
        <v>0.044073139275781235</v>
      </c>
      <c r="L9" s="498">
        <f t="shared" si="2"/>
        <v>0.04495460206129686</v>
      </c>
      <c r="M9" s="498">
        <f t="shared" si="2"/>
        <v>0.045853694102522796</v>
      </c>
      <c r="N9" s="498">
        <f t="shared" si="2"/>
        <v>0.046770767984573254</v>
      </c>
      <c r="O9" s="498">
        <f t="shared" si="2"/>
        <v>0.04770618334426472</v>
      </c>
      <c r="P9" s="498">
        <f t="shared" si="2"/>
        <v>0.04866030701115002</v>
      </c>
      <c r="Q9" s="498">
        <f t="shared" si="2"/>
        <v>0.04963351315137302</v>
      </c>
      <c r="R9" s="498">
        <f t="shared" si="2"/>
        <v>0.050626183414400484</v>
      </c>
      <c r="S9" s="498">
        <f t="shared" si="2"/>
        <v>0.051638707082688494</v>
      </c>
      <c r="T9" s="498">
        <f t="shared" si="2"/>
        <v>0.052671481224342266</v>
      </c>
      <c r="U9" s="498">
        <f t="shared" si="2"/>
        <v>0.05372491084882911</v>
      </c>
      <c r="V9" s="498">
        <f t="shared" si="2"/>
        <v>0.054799409065805695</v>
      </c>
      <c r="W9" s="498">
        <f t="shared" si="2"/>
        <v>0.05589539724712181</v>
      </c>
      <c r="X9" s="498">
        <f t="shared" si="2"/>
        <v>0.05701330519206425</v>
      </c>
      <c r="Y9" s="498">
        <f t="shared" si="2"/>
        <v>0.05815357129590553</v>
      </c>
      <c r="Z9" s="498">
        <f t="shared" si="2"/>
        <v>0.059316642721823645</v>
      </c>
      <c r="AA9" s="498">
        <f t="shared" si="2"/>
        <v>0.060502975576260117</v>
      </c>
    </row>
    <row r="10" spans="1:27" ht="18" customHeight="1">
      <c r="A10" s="509"/>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27" ht="19.5" thickBot="1">
      <c r="A11" s="492"/>
      <c r="B11" s="490" t="s">
        <v>385</v>
      </c>
      <c r="C11">
        <v>2018</v>
      </c>
      <c r="D11">
        <v>2019</v>
      </c>
      <c r="E11">
        <v>2020</v>
      </c>
      <c r="F11">
        <v>2021</v>
      </c>
      <c r="G11">
        <v>2022</v>
      </c>
      <c r="H11">
        <v>2023</v>
      </c>
      <c r="I11">
        <v>2024</v>
      </c>
      <c r="J11">
        <v>2025</v>
      </c>
      <c r="K11">
        <v>2026</v>
      </c>
      <c r="L11">
        <v>2027</v>
      </c>
      <c r="M11">
        <v>2028</v>
      </c>
      <c r="N11">
        <v>2029</v>
      </c>
      <c r="O11">
        <v>2030</v>
      </c>
      <c r="P11">
        <v>2031</v>
      </c>
      <c r="Q11">
        <v>2032</v>
      </c>
      <c r="R11">
        <v>2033</v>
      </c>
      <c r="S11">
        <v>2034</v>
      </c>
      <c r="T11">
        <v>2035</v>
      </c>
      <c r="U11">
        <v>2036</v>
      </c>
      <c r="V11">
        <v>2037</v>
      </c>
      <c r="W11">
        <v>2038</v>
      </c>
      <c r="X11">
        <v>2039</v>
      </c>
      <c r="Y11">
        <v>2040</v>
      </c>
      <c r="Z11">
        <v>2041</v>
      </c>
      <c r="AA11">
        <v>2042</v>
      </c>
    </row>
    <row r="12" spans="1:27" ht="22.5" customHeight="1">
      <c r="A12" s="556"/>
      <c r="B12" s="555" t="s">
        <v>321</v>
      </c>
      <c r="C12" s="487">
        <f>AVERAGE('Ameren IL C&amp;I Rates'!C5:C9)</f>
        <v>0.03066</v>
      </c>
      <c r="D12" s="487">
        <f>C12*(1+$C$4)</f>
        <v>0.0312732</v>
      </c>
      <c r="E12" s="487">
        <f aca="true" t="shared" si="3" ref="E12:AA12">D12*(1+$C$4)</f>
        <v>0.031898664</v>
      </c>
      <c r="F12" s="487">
        <f t="shared" si="3"/>
        <v>0.03253663728</v>
      </c>
      <c r="G12" s="487">
        <f t="shared" si="3"/>
        <v>0.0331873700256</v>
      </c>
      <c r="H12" s="487">
        <f t="shared" si="3"/>
        <v>0.033851117426112</v>
      </c>
      <c r="I12" s="487">
        <f t="shared" si="3"/>
        <v>0.03452813977463424</v>
      </c>
      <c r="J12" s="487">
        <f t="shared" si="3"/>
        <v>0.03521870257012692</v>
      </c>
      <c r="K12" s="487">
        <f t="shared" si="3"/>
        <v>0.03592307662152946</v>
      </c>
      <c r="L12" s="487">
        <f t="shared" si="3"/>
        <v>0.03664153815396005</v>
      </c>
      <c r="M12" s="487">
        <f t="shared" si="3"/>
        <v>0.03737436891703925</v>
      </c>
      <c r="N12" s="487">
        <f t="shared" si="3"/>
        <v>0.038121856295380036</v>
      </c>
      <c r="O12" s="487">
        <f t="shared" si="3"/>
        <v>0.03888429342128764</v>
      </c>
      <c r="P12" s="487">
        <f t="shared" si="3"/>
        <v>0.03966197928971339</v>
      </c>
      <c r="Q12" s="487">
        <f t="shared" si="3"/>
        <v>0.04045521887550766</v>
      </c>
      <c r="R12" s="487">
        <f t="shared" si="3"/>
        <v>0.041264323253017814</v>
      </c>
      <c r="S12" s="487">
        <f t="shared" si="3"/>
        <v>0.04208960971807817</v>
      </c>
      <c r="T12" s="487">
        <f t="shared" si="3"/>
        <v>0.042931401912439736</v>
      </c>
      <c r="U12" s="487">
        <f t="shared" si="3"/>
        <v>0.04379002995068853</v>
      </c>
      <c r="V12" s="487">
        <f t="shared" si="3"/>
        <v>0.0446658305497023</v>
      </c>
      <c r="W12" s="487">
        <f t="shared" si="3"/>
        <v>0.045559147160696346</v>
      </c>
      <c r="X12" s="487">
        <f t="shared" si="3"/>
        <v>0.04647033010391027</v>
      </c>
      <c r="Y12" s="487">
        <f t="shared" si="3"/>
        <v>0.04739973670598848</v>
      </c>
      <c r="Z12" s="487">
        <f t="shared" si="3"/>
        <v>0.04834773144010825</v>
      </c>
      <c r="AA12" s="487">
        <f t="shared" si="3"/>
        <v>0.04931468606891042</v>
      </c>
    </row>
    <row r="13" spans="1:27" ht="18" customHeight="1">
      <c r="A13" s="509"/>
      <c r="B13" s="546" t="s">
        <v>327</v>
      </c>
      <c r="C13" s="498">
        <f aca="true" t="shared" si="4" ref="C13:AA13">SUM(C12:C12)</f>
        <v>0.03066</v>
      </c>
      <c r="D13" s="498">
        <f t="shared" si="4"/>
        <v>0.0312732</v>
      </c>
      <c r="E13" s="498">
        <f t="shared" si="4"/>
        <v>0.031898664</v>
      </c>
      <c r="F13" s="498">
        <f t="shared" si="4"/>
        <v>0.03253663728</v>
      </c>
      <c r="G13" s="498">
        <f t="shared" si="4"/>
        <v>0.0331873700256</v>
      </c>
      <c r="H13" s="498">
        <f t="shared" si="4"/>
        <v>0.033851117426112</v>
      </c>
      <c r="I13" s="498">
        <f t="shared" si="4"/>
        <v>0.03452813977463424</v>
      </c>
      <c r="J13" s="498">
        <f t="shared" si="4"/>
        <v>0.03521870257012692</v>
      </c>
      <c r="K13" s="498">
        <f t="shared" si="4"/>
        <v>0.03592307662152946</v>
      </c>
      <c r="L13" s="498">
        <f t="shared" si="4"/>
        <v>0.03664153815396005</v>
      </c>
      <c r="M13" s="498">
        <f t="shared" si="4"/>
        <v>0.03737436891703925</v>
      </c>
      <c r="N13" s="498">
        <f t="shared" si="4"/>
        <v>0.038121856295380036</v>
      </c>
      <c r="O13" s="498">
        <f t="shared" si="4"/>
        <v>0.03888429342128764</v>
      </c>
      <c r="P13" s="498">
        <f t="shared" si="4"/>
        <v>0.03966197928971339</v>
      </c>
      <c r="Q13" s="498">
        <f t="shared" si="4"/>
        <v>0.04045521887550766</v>
      </c>
      <c r="R13" s="498">
        <f t="shared" si="4"/>
        <v>0.041264323253017814</v>
      </c>
      <c r="S13" s="498">
        <f t="shared" si="4"/>
        <v>0.04208960971807817</v>
      </c>
      <c r="T13" s="498">
        <f t="shared" si="4"/>
        <v>0.042931401912439736</v>
      </c>
      <c r="U13" s="498">
        <f t="shared" si="4"/>
        <v>0.04379002995068853</v>
      </c>
      <c r="V13" s="498">
        <f t="shared" si="4"/>
        <v>0.0446658305497023</v>
      </c>
      <c r="W13" s="498">
        <f t="shared" si="4"/>
        <v>0.045559147160696346</v>
      </c>
      <c r="X13" s="498">
        <f t="shared" si="4"/>
        <v>0.04647033010391027</v>
      </c>
      <c r="Y13" s="498">
        <f t="shared" si="4"/>
        <v>0.04739973670598848</v>
      </c>
      <c r="Z13" s="498">
        <f t="shared" si="4"/>
        <v>0.04834773144010825</v>
      </c>
      <c r="AA13" s="498">
        <f t="shared" si="4"/>
        <v>0.04931468606891042</v>
      </c>
    </row>
    <row r="15" ht="15.75" customHeight="1">
      <c r="B15" s="490" t="s">
        <v>348</v>
      </c>
    </row>
    <row r="16" spans="1:27" ht="15" customHeight="1">
      <c r="A16" s="663"/>
      <c r="B16" s="546" t="s">
        <v>346</v>
      </c>
      <c r="C16" s="554">
        <f>C9*'Cash Flow'!G5</f>
        <v>136200.01280000003</v>
      </c>
      <c r="D16" s="554">
        <f>D9*'Cash Flow'!H5</f>
        <v>138229.39299072002</v>
      </c>
      <c r="E16" s="554">
        <f>E9*'Cash Flow'!I5</f>
        <v>140289.01094628175</v>
      </c>
      <c r="F16" s="554">
        <f>F9*'Cash Flow'!J5</f>
        <v>142379.31720938135</v>
      </c>
      <c r="G16" s="554">
        <f>G9*'Cash Flow'!K5</f>
        <v>144500.76903580115</v>
      </c>
      <c r="H16" s="554">
        <f>H9*'Cash Flow'!L5</f>
        <v>146653.8304944346</v>
      </c>
      <c r="I16" s="554">
        <f>I9*'Cash Flow'!M5</f>
        <v>148838.9725688017</v>
      </c>
      <c r="J16" s="554">
        <f>J9*'Cash Flow'!N5</f>
        <v>151056.67326007682</v>
      </c>
      <c r="K16" s="554">
        <f>K9*'Cash Flow'!O5</f>
        <v>153307.41769165196</v>
      </c>
      <c r="L16" s="554">
        <f>L9*'Cash Flow'!P5</f>
        <v>155591.69821525758</v>
      </c>
      <c r="M16" s="554">
        <f>M9*'Cash Flow'!Q5</f>
        <v>157910.0145186649</v>
      </c>
      <c r="N16" s="554">
        <f>N9*'Cash Flow'!R5</f>
        <v>160262.87373499302</v>
      </c>
      <c r="O16" s="554">
        <f>O9*'Cash Flow'!S5</f>
        <v>162650.7905536444</v>
      </c>
      <c r="P16" s="554">
        <f>P9*'Cash Flow'!T5</f>
        <v>165074.28733289373</v>
      </c>
      <c r="Q16" s="554">
        <f>Q9*'Cash Flow'!U5</f>
        <v>167533.89421415384</v>
      </c>
      <c r="R16" s="554">
        <f>R9*'Cash Flow'!V5</f>
        <v>170030.14923794474</v>
      </c>
      <c r="S16" s="554">
        <f>S9*'Cash Flow'!W5</f>
        <v>172563.5984615901</v>
      </c>
      <c r="T16" s="554">
        <f>T9*'Cash Flow'!X5</f>
        <v>175134.7960786678</v>
      </c>
      <c r="U16" s="554">
        <f>U9*'Cash Flow'!Y5</f>
        <v>177744.30454023997</v>
      </c>
      <c r="V16" s="554">
        <f>V9*'Cash Flow'!Z5</f>
        <v>180392.69467788952</v>
      </c>
      <c r="W16" s="554">
        <f>W9*'Cash Flow'!AA5</f>
        <v>183080.5458285901</v>
      </c>
      <c r="X16" s="554">
        <f>X9*'Cash Flow'!AB5</f>
        <v>185808.4459614361</v>
      </c>
      <c r="Y16" s="554">
        <f>Y9*'Cash Flow'!AC5</f>
        <v>188576.9918062615</v>
      </c>
      <c r="Z16" s="554">
        <f>Z9*'Cash Flow'!AD5</f>
        <v>191386.7889841748</v>
      </c>
      <c r="AA16" s="554">
        <f>AA9*'Cash Flow'!AE5</f>
        <v>194238.452140039</v>
      </c>
    </row>
    <row r="17" spans="1:27" ht="15">
      <c r="A17" s="663"/>
      <c r="B17" s="546" t="s">
        <v>384</v>
      </c>
      <c r="C17" s="554">
        <f>C13*'Cash Flow'!G5</f>
        <v>111013.728</v>
      </c>
      <c r="D17" s="554">
        <f>D13*'Cash Flow'!H5</f>
        <v>112667.8325472</v>
      </c>
      <c r="E17" s="554">
        <f>E13*'Cash Flow'!I5</f>
        <v>114346.58325215329</v>
      </c>
      <c r="F17" s="554">
        <f>F13*'Cash Flow'!J5</f>
        <v>116050.34734261037</v>
      </c>
      <c r="G17" s="554">
        <f>G13*'Cash Flow'!K5</f>
        <v>117779.49751801527</v>
      </c>
      <c r="H17" s="554">
        <f>H13*'Cash Flow'!L5</f>
        <v>119534.41203103369</v>
      </c>
      <c r="I17" s="554">
        <f>I13*'Cash Flow'!M5</f>
        <v>121315.4747702961</v>
      </c>
      <c r="J17" s="554">
        <f>J13*'Cash Flow'!N5</f>
        <v>123123.07534437349</v>
      </c>
      <c r="K17" s="554">
        <f>K13*'Cash Flow'!O5</f>
        <v>124957.60916700466</v>
      </c>
      <c r="L17" s="554">
        <f>L13*'Cash Flow'!P5</f>
        <v>126819.47754359302</v>
      </c>
      <c r="M17" s="554">
        <f>M13*'Cash Flow'!Q5</f>
        <v>128709.08775899255</v>
      </c>
      <c r="N17" s="554">
        <f>N13*'Cash Flow'!R5</f>
        <v>130626.85316660155</v>
      </c>
      <c r="O17" s="554">
        <f>O13*'Cash Flow'!S5</f>
        <v>132573.1932787839</v>
      </c>
      <c r="P17" s="554">
        <f>P13*'Cash Flow'!T5</f>
        <v>134548.5338586378</v>
      </c>
      <c r="Q17" s="554">
        <f>Q13*'Cash Flow'!U5</f>
        <v>136553.3070131315</v>
      </c>
      <c r="R17" s="554">
        <f>R13*'Cash Flow'!V5</f>
        <v>138587.95128762716</v>
      </c>
      <c r="S17" s="554">
        <f>S13*'Cash Flow'!W5</f>
        <v>140652.9117618128</v>
      </c>
      <c r="T17" s="554">
        <f>T13*'Cash Flow'!X5</f>
        <v>142748.64014706382</v>
      </c>
      <c r="U17" s="554">
        <f>U13*'Cash Flow'!Y5</f>
        <v>144875.59488525506</v>
      </c>
      <c r="V17" s="554">
        <f>V13*'Cash Flow'!Z5</f>
        <v>147034.24124904536</v>
      </c>
      <c r="W17" s="554">
        <f>W13*'Cash Flow'!AA5</f>
        <v>149225.05144365615</v>
      </c>
      <c r="X17" s="554">
        <f>X13*'Cash Flow'!AB5</f>
        <v>151448.50471016663</v>
      </c>
      <c r="Y17" s="554">
        <f>Y13*'Cash Flow'!AC5</f>
        <v>153705.08743034813</v>
      </c>
      <c r="Z17" s="554">
        <f>Z13*'Cash Flow'!AD5</f>
        <v>155995.2932330603</v>
      </c>
      <c r="AA17" s="554">
        <f>AA13*'Cash Flow'!AE5</f>
        <v>158319.62310223293</v>
      </c>
    </row>
  </sheetData>
  <sheetProtection/>
  <mergeCells count="1">
    <mergeCell ref="A16:A17"/>
  </mergeCells>
  <printOptions/>
  <pageMargins left="0.7" right="0.7" top="0.75" bottom="0.75" header="0.3" footer="0.3"/>
  <pageSetup fitToHeight="1" fitToWidth="1" horizontalDpi="600" verticalDpi="600" orientation="landscape" scale="36"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dimension ref="B3:I11"/>
  <sheetViews>
    <sheetView showGridLines="0" zoomScalePageLayoutView="0" workbookViewId="0" topLeftCell="A1">
      <selection activeCell="C24" sqref="C24"/>
    </sheetView>
  </sheetViews>
  <sheetFormatPr defaultColWidth="9.140625" defaultRowHeight="15"/>
  <cols>
    <col min="3" max="3" width="35.28125" style="0" customWidth="1"/>
  </cols>
  <sheetData>
    <row r="3" spans="2:9" ht="15">
      <c r="B3" s="664" t="s">
        <v>340</v>
      </c>
      <c r="C3" s="665"/>
      <c r="D3" s="541"/>
      <c r="E3" s="541"/>
      <c r="F3" s="541"/>
      <c r="G3" s="541"/>
      <c r="H3" s="541"/>
      <c r="I3" s="541"/>
    </row>
    <row r="4" spans="2:3" ht="15">
      <c r="B4" s="665"/>
      <c r="C4" s="665"/>
    </row>
    <row r="5" spans="2:3" ht="15">
      <c r="B5">
        <v>2012</v>
      </c>
      <c r="C5">
        <v>0.02836</v>
      </c>
    </row>
    <row r="6" spans="2:3" ht="15">
      <c r="B6">
        <v>2013</v>
      </c>
      <c r="C6">
        <v>0.03013</v>
      </c>
    </row>
    <row r="7" spans="2:3" ht="15">
      <c r="B7">
        <v>2014</v>
      </c>
      <c r="C7">
        <v>0.04064</v>
      </c>
    </row>
    <row r="8" spans="2:3" ht="15">
      <c r="B8">
        <v>2015</v>
      </c>
      <c r="C8">
        <v>0.02811</v>
      </c>
    </row>
    <row r="9" spans="2:3" ht="15">
      <c r="B9">
        <v>2016</v>
      </c>
      <c r="C9">
        <v>0.02606</v>
      </c>
    </row>
    <row r="11" spans="2:3" ht="15">
      <c r="B11" s="666" t="s">
        <v>357</v>
      </c>
      <c r="C11" s="666"/>
    </row>
  </sheetData>
  <sheetProtection/>
  <mergeCells count="2">
    <mergeCell ref="B3:C4"/>
    <mergeCell ref="B11:C11"/>
  </mergeCells>
  <printOptions/>
  <pageMargins left="0.7" right="0.7" top="0.75" bottom="0.75" header="0.3" footer="0.3"/>
  <pageSetup horizontalDpi="600" verticalDpi="600" orientation="landscape" r:id="rId1"/>
  <headerFooter>
    <oddHeader>&amp;L&amp;F
Worksheet:&amp;A
&amp;D</oddHeader>
    <oddFooter>&amp;C&amp;P of &amp;N</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C29" sqref="C29"/>
    </sheetView>
  </sheetViews>
  <sheetFormatPr defaultColWidth="9.140625" defaultRowHeight="15"/>
  <cols>
    <col min="3" max="3" width="39.00390625" style="0" customWidth="1"/>
  </cols>
  <sheetData>
    <row r="1" spans="1:15" ht="15">
      <c r="A1" s="595"/>
      <c r="B1" s="596"/>
      <c r="C1" s="596"/>
      <c r="D1" s="596"/>
      <c r="E1" s="596"/>
      <c r="F1" s="596"/>
      <c r="G1" s="596"/>
      <c r="H1" s="596"/>
      <c r="I1" s="596"/>
      <c r="J1" s="596"/>
      <c r="K1" s="596"/>
      <c r="L1" s="596"/>
      <c r="M1" s="596"/>
      <c r="N1" s="596"/>
      <c r="O1" s="596"/>
    </row>
    <row r="3" spans="2:3" ht="15">
      <c r="B3" s="664" t="s">
        <v>340</v>
      </c>
      <c r="C3" s="665"/>
    </row>
    <row r="4" spans="2:3" ht="15">
      <c r="B4" s="665"/>
      <c r="C4" s="665"/>
    </row>
    <row r="5" spans="2:3" ht="15">
      <c r="B5">
        <v>2012</v>
      </c>
      <c r="C5">
        <v>0.03515</v>
      </c>
    </row>
    <row r="6" spans="2:3" ht="15">
      <c r="B6">
        <v>2013</v>
      </c>
      <c r="C6">
        <v>0.03687</v>
      </c>
    </row>
    <row r="7" spans="2:3" ht="15">
      <c r="B7">
        <v>2014</v>
      </c>
      <c r="C7">
        <v>0.04758</v>
      </c>
    </row>
    <row r="8" spans="2:3" ht="15">
      <c r="B8">
        <v>2015</v>
      </c>
      <c r="C8">
        <v>0.03333</v>
      </c>
    </row>
    <row r="9" spans="2:3" ht="15">
      <c r="B9">
        <v>2016</v>
      </c>
      <c r="C9">
        <v>0.03515</v>
      </c>
    </row>
    <row r="11" spans="2:3" ht="15">
      <c r="B11" s="666" t="s">
        <v>357</v>
      </c>
      <c r="C11" s="666"/>
    </row>
    <row r="22" spans="2:13" ht="15">
      <c r="B22" s="14"/>
      <c r="C22" s="14"/>
      <c r="D22" s="14"/>
      <c r="E22" s="14"/>
      <c r="F22" s="14"/>
      <c r="G22" s="14"/>
      <c r="H22" s="14"/>
      <c r="I22" s="14"/>
      <c r="J22" s="14"/>
      <c r="K22" s="14"/>
      <c r="L22" s="14"/>
      <c r="M22" s="14"/>
    </row>
    <row r="23" spans="2:13" ht="15">
      <c r="B23" s="14"/>
      <c r="C23" s="14"/>
      <c r="D23" s="14"/>
      <c r="E23" s="14"/>
      <c r="F23" s="14"/>
      <c r="G23" s="14"/>
      <c r="H23" s="14"/>
      <c r="I23" s="14"/>
      <c r="J23" s="14"/>
      <c r="K23" s="14"/>
      <c r="L23" s="14"/>
      <c r="M23" s="14"/>
    </row>
    <row r="24" spans="2:13" ht="15">
      <c r="B24" s="14"/>
      <c r="C24" s="14"/>
      <c r="D24" s="14"/>
      <c r="E24" s="14"/>
      <c r="F24" s="14"/>
      <c r="G24" s="14"/>
      <c r="H24" s="14"/>
      <c r="I24" s="14"/>
      <c r="J24" s="14"/>
      <c r="K24" s="14"/>
      <c r="L24" s="14"/>
      <c r="M24" s="14"/>
    </row>
    <row r="25" spans="2:13" ht="15">
      <c r="B25" s="14"/>
      <c r="C25" s="14"/>
      <c r="D25" s="14"/>
      <c r="E25" s="14"/>
      <c r="F25" s="14"/>
      <c r="G25" s="14"/>
      <c r="H25" s="14"/>
      <c r="I25" s="14"/>
      <c r="J25" s="14"/>
      <c r="K25" s="14"/>
      <c r="L25" s="14"/>
      <c r="M25" s="14"/>
    </row>
    <row r="26" spans="2:13" ht="15">
      <c r="B26" s="14"/>
      <c r="C26" s="667"/>
      <c r="D26" s="667"/>
      <c r="E26" s="667"/>
      <c r="F26" s="511"/>
      <c r="G26" s="512"/>
      <c r="H26" s="511"/>
      <c r="I26" s="14"/>
      <c r="J26" s="14"/>
      <c r="K26" s="14"/>
      <c r="L26" s="511"/>
      <c r="M26" s="14"/>
    </row>
    <row r="27" spans="2:13" ht="15">
      <c r="B27" s="14"/>
      <c r="C27" s="14"/>
      <c r="D27" s="14"/>
      <c r="E27" s="14"/>
      <c r="F27" s="511"/>
      <c r="G27" s="513"/>
      <c r="H27" s="14"/>
      <c r="I27" s="14"/>
      <c r="J27" s="14"/>
      <c r="K27" s="14"/>
      <c r="L27" s="14"/>
      <c r="M27" s="14"/>
    </row>
    <row r="28" spans="2:13" ht="15">
      <c r="B28" s="14"/>
      <c r="C28" s="14"/>
      <c r="D28" s="14"/>
      <c r="E28" s="14"/>
      <c r="F28" s="530"/>
      <c r="G28" s="500"/>
      <c r="H28" s="531"/>
      <c r="I28" s="14"/>
      <c r="J28" s="14"/>
      <c r="K28" s="14"/>
      <c r="L28" s="14"/>
      <c r="M28" s="14"/>
    </row>
    <row r="29" spans="2:13" ht="15">
      <c r="B29" s="14"/>
      <c r="C29" s="14"/>
      <c r="D29" s="14"/>
      <c r="E29" s="14"/>
      <c r="F29" s="14"/>
      <c r="G29" s="14"/>
      <c r="H29" s="14"/>
      <c r="I29" s="14"/>
      <c r="J29" s="14"/>
      <c r="K29" s="14"/>
      <c r="L29" s="14"/>
      <c r="M29" s="14"/>
    </row>
    <row r="30" spans="2:13" ht="15">
      <c r="B30" s="14"/>
      <c r="C30" s="14"/>
      <c r="D30" s="14"/>
      <c r="E30" s="14"/>
      <c r="F30" s="14"/>
      <c r="G30" s="14"/>
      <c r="H30" s="14"/>
      <c r="I30" s="14"/>
      <c r="J30" s="14"/>
      <c r="K30" s="14"/>
      <c r="L30" s="14"/>
      <c r="M30" s="14"/>
    </row>
    <row r="31" spans="2:13" ht="15">
      <c r="B31" s="14"/>
      <c r="C31" s="14"/>
      <c r="D31" s="14"/>
      <c r="E31" s="14"/>
      <c r="F31" s="14"/>
      <c r="G31" s="14"/>
      <c r="H31" s="14"/>
      <c r="I31" s="14"/>
      <c r="J31" s="14"/>
      <c r="K31" s="14"/>
      <c r="L31" s="14"/>
      <c r="M31" s="14"/>
    </row>
    <row r="32" spans="2:13" ht="15">
      <c r="B32" s="14"/>
      <c r="C32" s="14"/>
      <c r="D32" s="14"/>
      <c r="E32" s="14"/>
      <c r="F32" s="14"/>
      <c r="G32" s="14"/>
      <c r="H32" s="14"/>
      <c r="I32" s="14"/>
      <c r="J32" s="14"/>
      <c r="K32" s="14"/>
      <c r="L32" s="14"/>
      <c r="M32" s="14"/>
    </row>
  </sheetData>
  <sheetProtection/>
  <mergeCells count="3">
    <mergeCell ref="C26:E26"/>
    <mergeCell ref="B3:C4"/>
    <mergeCell ref="B11:C11"/>
  </mergeCells>
  <printOptions/>
  <pageMargins left="0.7" right="0.7" top="0.75" bottom="0.75" header="0.3" footer="0.3"/>
  <pageSetup horizontalDpi="600" verticalDpi="600" orientation="landscape" r:id="rId1"/>
  <headerFooter>
    <oddHeader>&amp;L&amp;F
Worksheet: &amp;A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2018-06-04T20:39:30Z</dcterms:created>
  <dcterms:modified xsi:type="dcterms:W3CDTF">2018-06-04T20:39:39Z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{949EB8A4-AAF1-4DAD-B094-818D92106BDB}</vt:lpwstr>
  </property>
</Properties>
</file>